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930" tabRatio="602" firstSheet="4" activeTab="13"/>
  </bookViews>
  <sheets>
    <sheet name="Parâmetros" sheetId="1" r:id="rId1"/>
    <sheet name="Projeções" sheetId="2" r:id="rId2"/>
    <sheet name="RCL" sheetId="3" r:id="rId3"/>
    <sheet name="Pessoal" sheetId="4" r:id="rId4"/>
    <sheet name="Dívida" sheetId="5" r:id="rId5"/>
    <sheet name="RPrim-Nom" sheetId="6" r:id="rId6"/>
    <sheet name="Metas Cons" sheetId="7" r:id="rId7"/>
    <sheet name="MetasRPPS" sheetId="8" r:id="rId8"/>
    <sheet name=" Avaliação" sheetId="9" r:id="rId9"/>
    <sheet name="Comparação" sheetId="10" r:id="rId10"/>
    <sheet name=" Patrimônio" sheetId="11" r:id="rId11"/>
    <sheet name=" Alienação" sheetId="12" r:id="rId12"/>
    <sheet name="RPPS-Financeiro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  <sheet name="Plan1" sheetId="20" r:id="rId20"/>
    <sheet name="Plan2" sheetId="21" r:id="rId21"/>
    <sheet name="Plan3" sheetId="22" r:id="rId22"/>
    <sheet name="Plan4" sheetId="23" r:id="rId23"/>
  </sheets>
  <definedNames>
    <definedName name="_xlnm.Print_Area" localSheetId="0">'Parâmetros'!$A$7:$G$26</definedName>
    <definedName name="_xlnm.Print_Area" localSheetId="1">'Projeções'!$A$1:$I$105</definedName>
    <definedName name="_xlnm.Print_Area" localSheetId="2">'RCL'!$A$2:$F$17</definedName>
    <definedName name="Z_16B3F100_CCE8_11D8_BD62_000C6E3CD3F1_.wvu.Cols" localSheetId="0" hidden="1">'Parâmetros'!$C:$C,'Parâmetros'!#REF!</definedName>
    <definedName name="Z_16B3F100_CCE8_11D8_BD62_000C6E3CD3F1_.wvu.Rows" localSheetId="4" hidden="1">'Dívida'!$23:$23,'Dívida'!#REF!</definedName>
    <definedName name="Z_16B3F100_CCE8_11D8_BD62_000C6E3CD3F1_.wvu.Rows" localSheetId="0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<sst xmlns="http://schemas.openxmlformats.org/spreadsheetml/2006/main" count="952" uniqueCount="670">
  <si>
    <t>CONTAS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</si>
  <si>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</si>
  <si>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</si>
  <si>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</si>
  <si>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</si>
  <si>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</si>
  <si>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</si>
  <si>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</si>
  <si>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</si>
  <si>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</si>
  <si>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</si>
  <si>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</si>
  <si>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</si>
  <si>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</si>
  <si>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</si>
  <si>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</si>
  <si>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</si>
  <si>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</si>
  <si>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</si>
  <si>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</si>
  <si>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</si>
  <si>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</si>
  <si>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</si>
  <si>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</si>
  <si>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</si>
  <si>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</si>
  <si>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</si>
  <si>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</si>
  <si>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</si>
  <si>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</si>
  <si>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</si>
  <si>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</si>
  <si>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</si>
  <si>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</si>
  <si>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</si>
  <si>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</si>
  <si>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</si>
  <si>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</si>
  <si>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>2.1 - Operações de Crédito</t>
  </si>
  <si>
    <t>Receita Total</t>
  </si>
  <si>
    <t>Despesa Total</t>
  </si>
  <si>
    <t>Reservas</t>
  </si>
  <si>
    <t>3.0.00.00.00.00.00</t>
  </si>
  <si>
    <t>3.1.00.00.00.00.00</t>
  </si>
  <si>
    <t>PESSOAL E ENCARGOS SOCIAIS</t>
  </si>
  <si>
    <t>3.2.00.00.00.00.00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</si>
  <si>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</si>
  <si>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</si>
  <si>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</si>
  <si>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</si>
  <si>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</si>
  <si>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</si>
  <si>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</si>
  <si>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</si>
  <si>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</si>
  <si>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</si>
  <si>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</si>
  <si>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</si>
  <si>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</si>
  <si>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</si>
  <si>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</si>
  <si>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</si>
  <si>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</si>
  <si>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</si>
  <si>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</si>
  <si>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</si>
  <si>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</si>
  <si>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</si>
  <si>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</si>
  <si>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</si>
  <si>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</si>
  <si>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</si>
  <si>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</si>
  <si>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</si>
  <si>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</si>
  <si>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</si>
  <si>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</si>
  <si>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</si>
  <si>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</si>
  <si>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</si>
  <si>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</si>
  <si>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</si>
  <si>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</si>
  <si>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</si>
  <si>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</si>
  <si>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</si>
  <si>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</si>
  <si>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</si>
  <si>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</si>
  <si>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</si>
  <si>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</si>
  <si>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</si>
  <si>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    Alienação de Bens Móveis</t>
  </si>
  <si>
    <t xml:space="preserve">        Alienação de Bens Imóveis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</si>
  <si>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</si>
  <si>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</si>
  <si>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</si>
  <si>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</si>
  <si>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</si>
  <si>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</si>
  <si>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</si>
  <si>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</si>
  <si>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</si>
  <si>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</si>
  <si>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</si>
  <si>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</si>
  <si>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</si>
  <si>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</si>
  <si>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</si>
  <si>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</si>
  <si>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</si>
  <si>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</si>
  <si>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</si>
  <si>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</si>
  <si>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</si>
  <si>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</si>
  <si>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</si>
  <si>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</si>
  <si>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Valor (c) = (b-a)</t>
  </si>
  <si>
    <t>Variação %</t>
  </si>
  <si>
    <t>Variação%</t>
  </si>
  <si>
    <t xml:space="preserve">  Receitas Primárias (I)</t>
  </si>
  <si>
    <t>Despesas Primárias (II)</t>
  </si>
  <si>
    <t>Fonte:</t>
  </si>
  <si>
    <t>Receita Primárias (I)</t>
  </si>
  <si>
    <t>Despesa Primárias (II)</t>
  </si>
  <si>
    <t>DEMONSTRATIVO DE METAS FISCAIS ATUAIS COMPARADAS COM AS FIXADAS  NOS TRÊS EXERCÍCIOS ANTERIORES</t>
  </si>
  <si>
    <t>Receitas Primárias (I)</t>
  </si>
  <si>
    <t>Saldo</t>
  </si>
  <si>
    <t>Reestimativa</t>
  </si>
  <si>
    <t>REESTIMADO</t>
  </si>
  <si>
    <t>JUROS E ENCARGOS DA DÍVIDA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</si>
  <si>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</si>
  <si>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</si>
  <si>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</si>
  <si>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</si>
  <si>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</si>
  <si>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</si>
  <si>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</si>
  <si>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</si>
  <si>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</si>
  <si>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</si>
  <si>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</si>
  <si>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</si>
  <si>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</si>
  <si>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</si>
  <si>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Exercício</t>
  </si>
  <si>
    <t>(-)  Transferências ao FUNDEB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</si>
  <si>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</si>
  <si>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</si>
  <si>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</si>
  <si>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</si>
  <si>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</si>
  <si>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</si>
  <si>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 xml:space="preserve">Operações de Crédito / Pagamentos </t>
  </si>
  <si>
    <t>ANEXO DE  METAS FISCAIS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</si>
  <si>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</si>
  <si>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</si>
  <si>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</si>
  <si>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</si>
  <si>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</si>
  <si>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</si>
  <si>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</si>
  <si>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</si>
  <si>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ANEXO DE RISCOS FISCAIS</t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</si>
  <si>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</si>
  <si>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</si>
  <si>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</si>
  <si>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</si>
  <si>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</si>
  <si>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</si>
  <si>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</si>
  <si>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</si>
  <si>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</si>
  <si>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</si>
  <si>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</si>
  <si>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</si>
  <si>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</si>
  <si>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RESULTADO PREVIDENCIÁRIO (VII) = (III – VI)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</si>
  <si>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</si>
  <si>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</si>
  <si>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</si>
  <si>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</si>
  <si>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</si>
  <si>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</si>
  <si>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</si>
  <si>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</si>
  <si>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</si>
  <si>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</si>
  <si>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</si>
  <si>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</si>
  <si>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</si>
  <si>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</si>
  <si>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</si>
  <si>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</si>
  <si>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</si>
  <si>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</si>
  <si>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</si>
  <si>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</si>
  <si>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 xml:space="preserve">MUNICÍPIO DE: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</si>
  <si>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</si>
  <si>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</si>
  <si>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</si>
  <si>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</si>
  <si>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</si>
  <si>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</si>
  <si>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</si>
  <si>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</si>
  <si>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</si>
  <si>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</si>
  <si>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Pessoal  do  R P P S </t>
  </si>
  <si>
    <t xml:space="preserve">Juros e encargos da Dívida RPPS </t>
  </si>
  <si>
    <t xml:space="preserve">Invetimentos  RPPS 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</si>
  <si>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</si>
  <si>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</si>
  <si>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</si>
  <si>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</si>
  <si>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</si>
  <si>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t> FONTE: Sistema &lt;Nome&gt;, Unidade Responsável &lt;Nome&gt;, Data da emissão &lt;dd/mmm/aaaa&gt; e hora de emissão &lt;hhh e mmm&gt;</t>
  </si>
  <si>
    <t>Fonte:  Sistema &lt;Nome&gt;, Unidade Responsável &lt;Nome&gt;, Data da emissão &lt;dd/mmm/aaaa&gt; e hora de emissão &lt;hhh e mmm&gt;</t>
  </si>
  <si>
    <t>Taxa de Juros Selic (Média do Ano)</t>
  </si>
  <si>
    <t>ARRECADADA</t>
  </si>
  <si>
    <t>1.0.0.0.00.0.0.00.00.00</t>
  </si>
  <si>
    <t>Receitas Correntes</t>
  </si>
  <si>
    <t>1.1.0.0.00.0.0.00.00.00</t>
  </si>
  <si>
    <t>Impostos, Taxas e Contribuições de Melhoria</t>
  </si>
  <si>
    <t>1.1.1.0.00.0.0.00.00.00</t>
  </si>
  <si>
    <t>1.1.2.0.00.0.0.00.00.00</t>
  </si>
  <si>
    <t>Taxas</t>
  </si>
  <si>
    <t>1.1.3.0.00.0.0.00.00.00</t>
  </si>
  <si>
    <t>Contribuição de Melhoria</t>
  </si>
  <si>
    <t>1.2.0.0.00.0.0.00.00.00</t>
  </si>
  <si>
    <t>Contribuições</t>
  </si>
  <si>
    <t>1.2.1.0.00.0.0.00.00.00</t>
  </si>
  <si>
    <t>Contribuições Sociais</t>
  </si>
  <si>
    <t>1.2.1.0.04.0.0.00.00.00</t>
  </si>
  <si>
    <t>1.2.1.0.06.0.0.00.00.00</t>
  </si>
  <si>
    <t>Contribuição para os Fundos de Assistência Médica</t>
  </si>
  <si>
    <t>1.2.1.0.99.0.0.00.00.00</t>
  </si>
  <si>
    <t>Outras Contribuições Sociais</t>
  </si>
  <si>
    <t>1.2.1.8.00.0.0.00.00.00</t>
  </si>
  <si>
    <t>Contribuições Sociais específicas de Estados, DF, Municípios</t>
  </si>
  <si>
    <t>1.2.2.0.00.0.0.00.00.00</t>
  </si>
  <si>
    <t>Contribuições Econômicas</t>
  </si>
  <si>
    <t>1.2.4.0.00.0.0.00.00.00</t>
  </si>
  <si>
    <t>Contribuição para o Custeio do Serviço de Iluminação Pública</t>
  </si>
  <si>
    <t>1.3.0.0.00.0.0.00.00.00</t>
  </si>
  <si>
    <t>Receita Patrimonial</t>
  </si>
  <si>
    <t>1.3.1.0.00.0.0.00.00.00</t>
  </si>
  <si>
    <t>Exploração do Patrimônio Imobiliário do Estado</t>
  </si>
  <si>
    <t>1.3.2.0.00.0.0.00.00.00</t>
  </si>
  <si>
    <t>Valores Mobiliários</t>
  </si>
  <si>
    <t>1.3.2.1.00.1.1.01.00.00</t>
  </si>
  <si>
    <t>Remuneração de Depósitos de Recursos Vinculados - Principal</t>
  </si>
  <si>
    <t>1.3.2.1.00.1.1.02.00.00</t>
  </si>
  <si>
    <t>Remuneração de Depósitos de Recursos Não Vinculados - Principal</t>
  </si>
  <si>
    <t>1.3.2.1.00.4.0.00.00.00</t>
  </si>
  <si>
    <t>Remuneração dos Recursos do Regime Próprio de Previdência Social - RPPS</t>
  </si>
  <si>
    <t>1.3.2.1.00.5.0.00.00.00</t>
  </si>
  <si>
    <t>Juros de Títulos de Renda</t>
  </si>
  <si>
    <t>1.3.2.9.00.0.0.00.00.00</t>
  </si>
  <si>
    <t>Outros Valores Mobiliários</t>
  </si>
  <si>
    <t>1.3.3.0.00.0.0.00.00.00</t>
  </si>
  <si>
    <t>Delegação de Serviços Públicos Mediante Concessão, Permissão, Autorização ou Licença</t>
  </si>
  <si>
    <t>1.3.6.0.00.0.0.00.00.00</t>
  </si>
  <si>
    <t>Cessão de Direitos</t>
  </si>
  <si>
    <t>1.3.9.0.00.0.0.00.00.00</t>
  </si>
  <si>
    <t>Demais Receitas Patrimoniais</t>
  </si>
  <si>
    <t>1.4.0.0.00.0.0.00.00.00</t>
  </si>
  <si>
    <t>Receita Agropecuária</t>
  </si>
  <si>
    <t>Receita de Serviços</t>
  </si>
  <si>
    <t>1.7.0.0.00.0.0.00.00.00</t>
  </si>
  <si>
    <t>Transferências Correntes</t>
  </si>
  <si>
    <t>1.7.1.0.00.0.0.00.00.00</t>
  </si>
  <si>
    <t>Transferências da União e de suas Entidades</t>
  </si>
  <si>
    <t>1.7.1.8.01.2.0.00.00.00</t>
  </si>
  <si>
    <t>Cota-Parte do Fundo de Participação dos Municípios - Cota Mensal</t>
  </si>
  <si>
    <t>1.7.1.8.01.3.0.00.00.00</t>
  </si>
  <si>
    <t>Cota-Parte do Fundo de Participação do Municípios – 1% Cota entregue no mês de dezembro</t>
  </si>
  <si>
    <t>1.7.1.8.01.4.0.00.00.00</t>
  </si>
  <si>
    <t>Cota-Parte do Fundo de Participação dos Municípios - 1% Cota entregue no mês de julho</t>
  </si>
  <si>
    <t>1.7.1.8.01.5.0.00.00.00</t>
  </si>
  <si>
    <t>Cota-Parte do Imposto Sobre a Propriedade Territorial Rural</t>
  </si>
  <si>
    <t>1.7.1.8.02.0.0.00.00.00</t>
  </si>
  <si>
    <t>Transferência da Compensação Financeira pela Exploração de Recursos Naturais</t>
  </si>
  <si>
    <t>1.7.1.8.03.0.0.00.00.00</t>
  </si>
  <si>
    <t>Transferência de Recursos do Sistema Único de Saúde – SUS – Repasses Fundo a Fundo</t>
  </si>
  <si>
    <t>1.7.1.8.04.0.0.00.00.00</t>
  </si>
  <si>
    <t>Transferências de Recursos do Fundo Nacional de Assistência Social – FNAS</t>
  </si>
  <si>
    <t>1.7.1.8.05.0.0.00.00.00</t>
  </si>
  <si>
    <t>Transferências de Recursos do Fundo Nacional do Desenvolvimento da Educação – FNDE</t>
  </si>
  <si>
    <t>1.7.1.8.06.0.0.00.00.00</t>
  </si>
  <si>
    <t>Transferência Financeira do ICMS – Desoneração – L.C. Nº 87/96</t>
  </si>
  <si>
    <t>1.7.1.8.10.0.0.00.00.00</t>
  </si>
  <si>
    <t>Transferências de Convênios da União e de Suas Entidades</t>
  </si>
  <si>
    <t>1.7.2.0.00.0.0.00.00.00</t>
  </si>
  <si>
    <t>Transferências dos Estados e do Distrito Federal e de suas Entidades</t>
  </si>
  <si>
    <t>1.7.2.8.01.1.0.00.00.00</t>
  </si>
  <si>
    <t>Cota-Parte do ICMS</t>
  </si>
  <si>
    <t>1.5.0.0.00.0.0.00.00.00</t>
  </si>
  <si>
    <t>Receita Industrial</t>
  </si>
  <si>
    <t>1.7.2.8.01.2.0.00.00.00</t>
  </si>
  <si>
    <t>Cota-Parte do IPVA</t>
  </si>
  <si>
    <t>1.7.2.8.01.3.0.00.00.00</t>
  </si>
  <si>
    <t>Cota-Parte do IPI - Municípios</t>
  </si>
  <si>
    <t>1.7.2.8.01.4.0.00.00.00</t>
  </si>
  <si>
    <t>Cota-Parte da Contribuição de Intervenção no Domínio Econômico</t>
  </si>
  <si>
    <t>1.7.2.8.01.5.0.00.00.00</t>
  </si>
  <si>
    <t>Outras Participações na Receita dos Estados</t>
  </si>
  <si>
    <t>1.7.2.8.01.9.0.00.00.00</t>
  </si>
  <si>
    <t>Outras Transferências dos Estados</t>
  </si>
  <si>
    <t>1.7.2.8.03.0.0.00.00.00</t>
  </si>
  <si>
    <t>Transferência de Recursos do Estado para Programas de Saúde – Repasse Fundo a Fundo</t>
  </si>
  <si>
    <t>1.7.2.8.10.0.0.00.00.00</t>
  </si>
  <si>
    <t>Transferência de Convênios dos Estados e do Distrito Federal e de Suas Entidades</t>
  </si>
  <si>
    <t>1.7.2.8.99.0.0.00.00.00</t>
  </si>
  <si>
    <t>1.7.3.0.00.0.0.00.00.00</t>
  </si>
  <si>
    <t>Transferências dos Municípios e de suas Entidades</t>
  </si>
  <si>
    <t>1.7.4.0.00.0.0.00.00.00</t>
  </si>
  <si>
    <t>Transferências de Instituições Privadas</t>
  </si>
  <si>
    <t>Transferências de Outras Instituições Públicas</t>
  </si>
  <si>
    <t>1.7.6.0.00.0.0.00.00.00</t>
  </si>
  <si>
    <t>Transferências do Exterior</t>
  </si>
  <si>
    <t>1.7.7.0.00.0.0.00.00.00</t>
  </si>
  <si>
    <t>Transferências de Pessoas Físicas</t>
  </si>
  <si>
    <t>1.9.0.0.00.0.0.00.00.00</t>
  </si>
  <si>
    <t>Outras Receitas Correntes</t>
  </si>
  <si>
    <t>1.9.1.0.00.0.0.00.00.00</t>
  </si>
  <si>
    <t>Multas Administrativas, Contratuais e Judiciais</t>
  </si>
  <si>
    <t>1.9.2.0.00.0.0.00.00.00</t>
  </si>
  <si>
    <t>Indenizações, Restituições e Ressarcimentos</t>
  </si>
  <si>
    <t>1.9.9.0.00.0.0.00.00.00</t>
  </si>
  <si>
    <t>Demais Receitas Correntes</t>
  </si>
  <si>
    <t>1.9.9.0.03.0.0.00.00.00</t>
  </si>
  <si>
    <t>Compensações Financeiras entre o Regime Geral e os Regimes Próprios de Previdência dos Servidores</t>
  </si>
  <si>
    <t>1.9.9.0.06.0.0.00.00.00</t>
  </si>
  <si>
    <t>Contrapartida de Subvenções ou Subsídios</t>
  </si>
  <si>
    <t>1.9.9.0.12.0.0.00.00.00</t>
  </si>
  <si>
    <t>Encargos Legais pela Inscrição em Dívida Ativa e Receitas de Ônus de Sucumbência</t>
  </si>
  <si>
    <t>1.9.9.0.99.0.0.00.00.00</t>
  </si>
  <si>
    <t>2.0.0.0.00.0.0.00.00.00</t>
  </si>
  <si>
    <t>Receitas de Capital</t>
  </si>
  <si>
    <t>2.1.0.0.00.0.0.00.00.00</t>
  </si>
  <si>
    <t>Operações de Crédito</t>
  </si>
  <si>
    <t>2.2.0.0.00.0.0.00.00.00</t>
  </si>
  <si>
    <t>Alienação de Bens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</si>
  <si>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</si>
  <si>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</si>
  <si>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</si>
  <si>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</si>
  <si>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</si>
  <si>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</si>
  <si>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2.4.0.0.00.0.0.00.00.00</t>
  </si>
  <si>
    <t>Transferências de Capital</t>
  </si>
  <si>
    <t>2.4.1.0.00.0.0.00.00.00</t>
  </si>
  <si>
    <t>2.4.2.0.00.0.0.00.00.00</t>
  </si>
  <si>
    <t>2.4.3.0.00.0.0.00.00.00</t>
  </si>
  <si>
    <t>2.4.4.0.00.0.0.00.00.00</t>
  </si>
  <si>
    <t>2.4.5.0.00.0.0.00.00.00</t>
  </si>
  <si>
    <t>2.4.6.0.00.0.0.00.00.00</t>
  </si>
  <si>
    <t>2.4.7.0.00.0.0.00.00.00</t>
  </si>
  <si>
    <t>2.9.0.0.00.0.0.00.00.00</t>
  </si>
  <si>
    <t>Outras Receitas de Capital</t>
  </si>
  <si>
    <t>2.9.9.0.00.1.1.01.00.00</t>
  </si>
  <si>
    <t>Outras Receitas Diretamente Arrecadadas pelo RPPS - Principal</t>
  </si>
  <si>
    <t>2.9.9.0.00.1.1.02.00.00</t>
  </si>
  <si>
    <t>Remuneracao de Depósitos Bancários - Principal</t>
  </si>
  <si>
    <t>7.0.0.0.00.0.0.00.00.00</t>
  </si>
  <si>
    <t>8.0.0.0.00.0.0.00.00.00</t>
  </si>
  <si>
    <t>Receitas de Capital Intraorçamentárias</t>
  </si>
  <si>
    <t>9.0.0.0.0.00.0.0.00.00</t>
  </si>
  <si>
    <t>9.1.1.0.0.00.0.0.00.00</t>
  </si>
  <si>
    <t>9.1.7.0.0.00.0.0.00.00</t>
  </si>
  <si>
    <t>Deduções para o FUNDEB</t>
  </si>
  <si>
    <t>9.1.0.0.0.00.0.0.00.00</t>
  </si>
  <si>
    <t>9.2.0.0.0.00.0.0.00.00</t>
  </si>
  <si>
    <t>Pessoal  - Executivo / Indiretes</t>
  </si>
  <si>
    <t>Pessoal  - Legislativo</t>
  </si>
  <si>
    <t>Juros e Encargos da Dívida - Executiv / Indiretas</t>
  </si>
  <si>
    <t>Juros e Encargos da Dívida - Legislativo</t>
  </si>
  <si>
    <t>Outras Despesas Correntes - Executivo</t>
  </si>
  <si>
    <t>Outras Despesas Correntes - Legislativo</t>
  </si>
  <si>
    <t>Outras Despesas Correntes  RPPS</t>
  </si>
  <si>
    <t>Investimentos - Executvi / Indiretas</t>
  </si>
  <si>
    <t>Investimentos - Legislativo</t>
  </si>
  <si>
    <t xml:space="preserve">4.5.90.99.00.00.00 </t>
  </si>
  <si>
    <t>Outras Inversões Financeiras - Executvi / Indiretas</t>
  </si>
  <si>
    <t>Outras Inversões Financeiras - Legislativo</t>
  </si>
  <si>
    <t>Amortização da Dívida  - Executivo / Indiretas</t>
  </si>
  <si>
    <t>Amortização da Dívida  - Legislativo</t>
  </si>
  <si>
    <t>Amortização da Dívida  - RPPS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</si>
  <si>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</si>
  <si>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</si>
  <si>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</si>
  <si>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</si>
  <si>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>Contribuição para o Regime Próprio de Previdência Social - RPPS (dos servidores)</t>
  </si>
  <si>
    <t>Receitas Correntes Intraorçamentárias - RPPS</t>
  </si>
  <si>
    <t>Valor Corrente (a)</t>
  </si>
  <si>
    <t>% RCL</t>
  </si>
  <si>
    <t>(a /RCL)</t>
  </si>
  <si>
    <t>II - DEDUÇÕES</t>
  </si>
  <si>
    <t xml:space="preserve">    I R R F s/Rendimentos do Trabalho</t>
  </si>
  <si>
    <t>Contribuições Previdenciárias do Regime Próprio</t>
  </si>
  <si>
    <t>Compensação Financeira entre Regimes</t>
  </si>
  <si>
    <t>III - (+) Ajuste Perdas com o Fundeb</t>
  </si>
  <si>
    <t>IV - RECEITA CORRENTE LÍQUIDA (I-II+III)</t>
  </si>
  <si>
    <t>Estimativas para a Receita Corrente Líquida</t>
  </si>
  <si>
    <t>I - RECEITAS CORRENTES (Exceto Intraorçamentárias)</t>
  </si>
  <si>
    <t>1.1.1.3.03.1.1.01.00.00</t>
  </si>
  <si>
    <t>1.1.1.3.03.1.1.02.00.00</t>
  </si>
  <si>
    <t xml:space="preserve"> Demais Impostos</t>
  </si>
  <si>
    <t>IRRF s/Rend.Trabalho - Principal - Ativos/Inativos do Poder Executivo/Indiretas</t>
  </si>
  <si>
    <t>IRRF s/Rend.Trabalho - Principal - Ativos/Inativos do Poder Legislativo</t>
  </si>
  <si>
    <t xml:space="preserve">Deduções da Receita Corrente </t>
  </si>
  <si>
    <t>1.7.5.8.01.1.1.00.00.00</t>
  </si>
  <si>
    <t>Transferências de Recursos do FUNDEB - Principal</t>
  </si>
  <si>
    <t>Rendimentos de Aplicações de Rec.Previdenciários</t>
  </si>
  <si>
    <t>(B /RCL)</t>
  </si>
  <si>
    <t>(b /RCL)</t>
  </si>
  <si>
    <t>Inflação para 2020:</t>
  </si>
  <si>
    <t>AMF - Demonstrativo 6 (LRF, art. 4º, § 2º, inciso IV, alínea "a")</t>
  </si>
  <si>
    <t>RECEITAS E DESPESAS PREVIDENCIÁRIOS DO REGIME PRÓPRIO DE PREVIDÊNCIA DOS SERVIDORES</t>
  </si>
  <si>
    <t>PLANO PREVIDENCIÁRIO</t>
  </si>
  <si>
    <t>RECEITAS PREVIDENCIÁRIAS - RPPS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</si>
  <si>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</si>
  <si>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</si>
  <si>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</si>
  <si>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</si>
  <si>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</si>
  <si>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</si>
  <si>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</si>
  <si>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</si>
  <si>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Em Regime de Parcelamento de Débitos</t>
  </si>
  <si>
    <t>Receitas Imobiliárias</t>
  </si>
  <si>
    <t>Receitas de Valores Mobiliários</t>
  </si>
  <si>
    <t>Outras Receitas Patrimoniais</t>
  </si>
  <si>
    <t>Receita de Aporte Periódico de Valores Predefinidos</t>
  </si>
  <si>
    <t>Compensação Previdenciária do RGPS para o RPPS</t>
  </si>
  <si>
    <t>RECEITAS DE CAPITAL (II)</t>
  </si>
  <si>
    <t>Alienação de Bens, Direitos e Ativos</t>
  </si>
  <si>
    <t>TOTAL DAS RECEITAS PREVIDENCIÁRIAS RPPS - (III) = (I + II)</t>
  </si>
  <si>
    <t>DESPESAS PREVIDENCIÁRIAS - RPPS</t>
  </si>
  <si>
    <t>ADMINISTRAÇÃO (IV)</t>
  </si>
  <si>
    <t>Despesas Correntes</t>
  </si>
  <si>
    <t>Despesas de Capital</t>
  </si>
  <si>
    <t>PREVIDÊNCIA (V)</t>
  </si>
  <si>
    <t>Benefícios - Civil</t>
  </si>
  <si>
    <t>Aposentadorias</t>
  </si>
  <si>
    <t>Pensões</t>
  </si>
  <si>
    <t>Outros Benefícios Previdenciários</t>
  </si>
  <si>
    <t>Benefícios - Militar</t>
  </si>
  <si>
    <t>Reformas</t>
  </si>
  <si>
    <t>Outras Despesas Previdenciárias</t>
  </si>
  <si>
    <t>Compensação Previdenciária do RPPS para o RGPS</t>
  </si>
  <si>
    <t>Demais Despesas Previdenciárias</t>
  </si>
  <si>
    <t>TOTAL DAS DESPESAS PREVIDENCIÁRIAS RPPS (VI) = (IV + V)</t>
  </si>
  <si>
    <t>RECURSOS RPPS ARRECADADOS EM EXERCÍCIOS ANTERIORES</t>
  </si>
  <si>
    <t>VALOR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</si>
  <si>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</si>
  <si>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</si>
  <si>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</si>
  <si>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</si>
  <si>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</si>
  <si>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</si>
  <si>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</si>
  <si>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 Bens e Direitos</t>
  </si>
  <si>
    <t>PLANO FINANCEIRO</t>
  </si>
  <si>
    <t>RECEITAS CORRENTES (VIII)</t>
  </si>
  <si>
    <t>Receita de Contribuições dos Segurados</t>
  </si>
  <si>
    <t>Receita de Contribuições Patronais</t>
  </si>
  <si>
    <t>RECEITAS DE CAPITAL (IX)</t>
  </si>
  <si>
    <t>TOTAL DAS RECEITAS PREVIDENCIÁRIAS RPPS - (X) = (VIII + IX)</t>
  </si>
  <si>
    <t>ADMINISTRAÇÃO (XI)</t>
  </si>
  <si>
    <t>PREVIDÊNCIA (XII)</t>
  </si>
  <si>
    <t xml:space="preserve">Aposentadorias </t>
  </si>
  <si>
    <t>TOTAL DAS DESPESAS PREVIDENCIÁRIAS RPPS (XIII) = (XI + XII)</t>
  </si>
  <si>
    <t>RESULTADO PREVIDENCIÁRIO (XIV) = (X – XIII)</t>
  </si>
  <si>
    <t>APORTES DE RECURSOS PARA O PLANO FINANCEIRO DO RRPS</t>
  </si>
  <si>
    <t>Recursos para Cobertura de Insuficiências Financeiras</t>
  </si>
  <si>
    <t>Recursos para Formação de Reserva</t>
  </si>
  <si>
    <t>PROJEÇÃO ATUARIAL DO REGIME PRÓPRIO DE PREVIDÊNCIA DOS SERVIDORES</t>
  </si>
  <si>
    <t>FONTE: Sistema &lt;sistema&gt;, Unidade Responsável: &lt;Unidade Responsável&gt;. Emissão: &lt;dd/mm/aaaa&gt;, às &lt;hh:mm:ss&gt;. Assinado Digitalmente no dia &lt;dd/mm/aaaa&gt;, às &lt;hh:mm:ss&gt;.</t>
  </si>
  <si>
    <r>
      <t>Em Regime de Parcelamento de Débitos</t>
    </r>
    <r>
      <rPr>
        <sz val="8"/>
        <rFont val="Arial"/>
        <family val="2"/>
      </rPr>
      <t xml:space="preserve"> </t>
    </r>
  </si>
  <si>
    <r>
      <t xml:space="preserve">Receitas
Previdenciárias </t>
    </r>
    <r>
      <rPr>
        <b/>
        <sz val="8"/>
        <rFont val="Arial"/>
        <family val="2"/>
      </rPr>
      <t>(a)</t>
    </r>
  </si>
  <si>
    <r>
      <t xml:space="preserve">Despesas
Previdenciárias
</t>
    </r>
    <r>
      <rPr>
        <b/>
        <sz val="8"/>
        <rFont val="Arial"/>
        <family val="2"/>
      </rPr>
      <t>(b)</t>
    </r>
  </si>
  <si>
    <r>
      <t xml:space="preserve">Resultado
Previdenciário
</t>
    </r>
    <r>
      <rPr>
        <b/>
        <sz val="8"/>
        <rFont val="Arial"/>
        <family val="2"/>
      </rPr>
      <t>(c) = (a-b)</t>
    </r>
  </si>
  <si>
    <r>
      <t xml:space="preserve">Saldo Financeiro 
do Exercício
</t>
    </r>
    <r>
      <rPr>
        <b/>
        <sz val="8"/>
        <rFont val="Arial"/>
        <family val="2"/>
      </rPr>
      <t>(d) = (d Exercício Anterior) + (c)</t>
    </r>
  </si>
  <si>
    <t>AVALIAÇÃO DA SITUAÇÃO FINANCEIRA E ATUARIAL DO RPPS</t>
  </si>
  <si>
    <t>Limite Máximo Legal   -  54 % da  RCL (alínea “b” do inciso III do artigo 20 da LRF)</t>
  </si>
  <si>
    <t>Limite Prudencial - 51,30 % da RCL (parágrafo único do artigo 22 daLRF)</t>
  </si>
  <si>
    <t>Limite de Alerta - 48,60 % da RCL (inciso II do § 1º do artigo 59 da LRF)</t>
  </si>
  <si>
    <t>PODER EXECUTIVO</t>
  </si>
  <si>
    <t xml:space="preserve">PODER LEGISLATIVO </t>
  </si>
  <si>
    <t>Limite Máximo Legal   -  6 % da  RCL (alínea “b” do inciso III do artigo 20 da LRF)</t>
  </si>
  <si>
    <t>Limite Prudencial - 5,70 % da RCL (parágrafo único do artigo 22 daLRF)</t>
  </si>
  <si>
    <t>Limite de Alerta -  5,40 % da RCL (inciso II do § 1º do artigo 59 da LRF)</t>
  </si>
  <si>
    <t>2.2 Encargos - Exceto RPPS</t>
  </si>
  <si>
    <t>2.3 Amortizações - Exceto RPPS</t>
  </si>
  <si>
    <t>Memória de Cálculo das Estimativas das Receitas</t>
  </si>
  <si>
    <t>ANEXO DE METAS FISCAIS</t>
  </si>
  <si>
    <t>METAS ANUAIS - CONSOLIDADO</t>
  </si>
  <si>
    <t>METAS ANUAIS - RPPS</t>
  </si>
  <si>
    <t xml:space="preserve">AVALIAÇÃO DO CUMPRIMENTO DAS METAS FISCAIS   DO EXERCÍCIO ANTERIOR                            </t>
  </si>
  <si>
    <t>EVOLUÇÃO DO PATRIMÔNIO LÍQUIDO</t>
  </si>
  <si>
    <t>ORIGEM E APLICAÇÃO DOS RECURSOS OBTIDOS COM A ALIENAÇÃO DE ATIVOS</t>
  </si>
  <si>
    <t>ESTIMATIVA E COMPENSAÇÃO DA RENÚNCIA DE RECEITA</t>
  </si>
  <si>
    <t xml:space="preserve">MARGEM DE EXPANSÃO DAS DESPESAS OBRIGATÓRIAS DE CARÁTER CONTINUADO  </t>
  </si>
  <si>
    <t>AMF - Demonstrativo 8 (LRF, art. 4°, § 2°, inciso V)</t>
  </si>
  <si>
    <t>AMF - Demonstrativo 7 (LRF, art. 4°, § 2°, inciso V)</t>
  </si>
  <si>
    <t>AMF - Demonstrativo 5 (LRF, art.4º, §2º, inciso III)</t>
  </si>
  <si>
    <t>AMF - Demonstrativo 4 (LRF, art.4º, §2º, inciso III)</t>
  </si>
  <si>
    <t>AMF – Demonstrativo 3 (LRF, art.4º, §2º, inciso II)</t>
  </si>
  <si>
    <r>
      <t>ARF (LRF, art 4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, § 3</t>
    </r>
    <r>
      <rPr>
        <u val="single"/>
        <vertAlign val="superscript"/>
        <sz val="11"/>
        <rFont val="Arial"/>
        <family val="2"/>
      </rPr>
      <t>o</t>
    </r>
    <r>
      <rPr>
        <sz val="11"/>
        <rFont val="Arial"/>
        <family val="2"/>
      </rPr>
      <t>)</t>
    </r>
  </si>
  <si>
    <t>AMF - Demonstrativo 2 (LRF, art. 4º, §2º, inciso I)</t>
  </si>
  <si>
    <t>AMF - Demonstrativo 1 (LRF, art. 4º, § 1º)</t>
  </si>
  <si>
    <r>
      <t xml:space="preserve">Fonte: </t>
    </r>
    <r>
      <rPr>
        <sz val="10"/>
        <rFont val="Arial"/>
        <family val="2"/>
      </rPr>
      <t>Sistema &lt;Nome&gt;, Unidade Responsável &lt;Nome&gt;, Data da emissão &lt;dd/mmm/aaaa&gt; e hora de emissão &lt;hhh e mmm&gt;</t>
    </r>
  </si>
  <si>
    <t xml:space="preserve">Valor Constante </t>
  </si>
  <si>
    <t>Valor Corrente (b)</t>
  </si>
  <si>
    <t>Valor Constante</t>
  </si>
  <si>
    <t>Valor Corrente (c)</t>
  </si>
  <si>
    <t>Indicador</t>
  </si>
  <si>
    <t>PAGA</t>
  </si>
  <si>
    <t>PAGA(Estim)</t>
  </si>
  <si>
    <t>Memória de Cálculo das Estimativas de Pagamento das Despesas - Inclusive Restos a Pagar</t>
  </si>
  <si>
    <t>TOTAL DAS DESPESAS PAGAS</t>
  </si>
  <si>
    <t>TOTAL DAS RECEITAS ARRECADADAS</t>
  </si>
  <si>
    <t>TABELA 02 - Demonstrativo da  Memória de Cálculo do Resultado Primário e Nominal  -  ACIMA DA LINHA</t>
  </si>
  <si>
    <t>RECEITAS PRIMÁRIAS</t>
  </si>
  <si>
    <t>Arrecadação</t>
  </si>
  <si>
    <t>Projeção</t>
  </si>
  <si>
    <t>(-)  Aplicações Financeiras em Geral</t>
  </si>
  <si>
    <t>(-) Aplicações Financeiras do RPPS</t>
  </si>
  <si>
    <t>(-) Outras Receitas Financeiras</t>
  </si>
  <si>
    <t>(-)  Operações de Crédito</t>
  </si>
  <si>
    <t>(-) Amortização de Empréstimos</t>
  </si>
  <si>
    <t>(-) Alienação de Investimentos Temporários e Permanentes</t>
  </si>
  <si>
    <t>(-) Outras Receitas de Capital -  Não Primárias</t>
  </si>
  <si>
    <t>1.6.0.0.00.0.0.00.00</t>
  </si>
  <si>
    <t>Demais Serviços</t>
  </si>
  <si>
    <t>1.6.4.0.01.1.0.00.00 + 1.6.4.0.03.1.0.00.00</t>
  </si>
  <si>
    <t>Retorno de Operações -  Juros e Encargos Financeiros / Rem. s/Repasse para Programas de Desenv.Econômico</t>
  </si>
  <si>
    <t>1.9.2.2.01.2.0.00.00</t>
  </si>
  <si>
    <t>Restituição de Convênios -  Financeiras</t>
  </si>
  <si>
    <t>1.9.2.0.00.0.0.00.00</t>
  </si>
  <si>
    <t>Outras Indenizações, Restituições e Ressarcimentos</t>
  </si>
  <si>
    <t>1.9.9.0.1.1.1.0.00.00.00</t>
  </si>
  <si>
    <t>Variação Cambial</t>
  </si>
  <si>
    <t>1.9.9.0.99.2.0.00.00.00</t>
  </si>
  <si>
    <t>Outras Receitas Financeiras</t>
  </si>
  <si>
    <t>Outras Receitas (demais receitas diversas)</t>
  </si>
  <si>
    <t>Taxa de Câmbio</t>
  </si>
  <si>
    <t xml:space="preserve">2.2.1.8.01.1.0.00.00.00 </t>
  </si>
  <si>
    <t>Alienação de Investimentos Temporários</t>
  </si>
  <si>
    <t>2.2.1.8.01.2.0.00.00.00</t>
  </si>
  <si>
    <t>Alienação de Investimenros Permanentes</t>
  </si>
  <si>
    <t>DESPESAS PRIMÁRIAS</t>
  </si>
  <si>
    <t>(-)  Juros e Encargos da Dívida</t>
  </si>
  <si>
    <t>(-)  Concessão e Empréstimos e Financiamentos</t>
  </si>
  <si>
    <t>(-) Aquisiç. De Títulos de Capital Já Integarlizado</t>
  </si>
  <si>
    <t>(-) Aquisição de Títulos de Crédito</t>
  </si>
  <si>
    <t>(-) Amortização da Dívida</t>
  </si>
  <si>
    <t>(=) Receitas Primárias Correntes  (I)</t>
  </si>
  <si>
    <t>(=) Receitas Primárias de Capital (II)</t>
  </si>
  <si>
    <t>RECEITAS PRIMÁRIAS TOTAIS (III = I + II)</t>
  </si>
  <si>
    <t>(=) Despesas Primárias Correntes (IV)</t>
  </si>
  <si>
    <t>(=) Despesas Primárias de Capital (V)</t>
  </si>
  <si>
    <t>DESPESAS PRIMÁRIAS TOTAIS (VI = IV + V)</t>
  </si>
  <si>
    <t>Pagamento</t>
  </si>
  <si>
    <t>Pagto Estimado</t>
  </si>
  <si>
    <t>RESULTADO PRIMÁRIO   -  ACIMA DA LINHA (VII = III - VI)</t>
  </si>
  <si>
    <t>JUROS E ENCARGOS ATIVOS (Variações Patrimoniais Aumentativas)</t>
  </si>
  <si>
    <t>4.4.1.1.1.00.00 - Juros e Encargos de Empréstimos Internos Concedidos – Consolidação</t>
  </si>
  <si>
    <t>4.4.1.1.3.00.00 - Juros e Encargos de Empréstimos Internos Concedidos - Inter Ofss – União</t>
  </si>
  <si>
    <t>4.4.1.1.4.00.00 - Juros e Encargos de Empréstimos Internos Concedidos - Inter Ofss -Estado</t>
  </si>
  <si>
    <t>4.4.1.1.5.00.00 - Juros e Encargos de Empréstimos Internos Concedidos - Inter Ofss – Município</t>
  </si>
  <si>
    <t>4.4.1.2.1.00.00 - Juros e Encargos de Empréstimos Externos Concedidos – Consolidação</t>
  </si>
  <si>
    <t>4.4.1.3.1.00.00 - Juros e Encargos de Financiamentos Internos Concedidos – Consolidação</t>
  </si>
  <si>
    <t>4.4.1.3.3.00.00 - Juros e Encargos de Financiamentos Internos Concedidos - Inter Ofss – União</t>
  </si>
  <si>
    <t>4.4.1.3.4.00.00 - Juros e Encargos de Financiamentos Internos Concedidos - Inter Ofss – Estado</t>
  </si>
  <si>
    <t>4.4.1.3.5.00.00 - Juros e Encargos de Financiamentos Internos Concedidos - Inter Ofss – Município</t>
  </si>
  <si>
    <t>4.4.1.4.1.00.00 - Juros e Encargos de Financiamentos Externos Concedidos – Consolidação</t>
  </si>
  <si>
    <t>4.4.2.1.1.00.00 - Juros e Encargos de Mora Sobre Empréstimos e Financiamentos Internos Concedidos – Consolidação</t>
  </si>
  <si>
    <t>4.4.2.1.3.00.00 - Juros e Encargos de Mora Sobre Empréstimos e Financiamentos Internos Concedidos - Inter Ofss – União</t>
  </si>
  <si>
    <t>4.4.2.1.4.00.00 - Juros e Encargos de Mora Sobre Empréstimos e Financiamentos Internos Concedidos - Inter Ofss - Estado</t>
  </si>
  <si>
    <t>4.4.2.1.5.00.00 - Juros e Encargos ee Mora Sobre Empréstimos e Financiamentos Internos Concedidos - Inter Ofss - Município</t>
  </si>
  <si>
    <t>4.4.2.2.1.00.00 - Juros e Encargos de Mora Sobre Empréstimos e Financiamentos Externos Concedidos - Consolidação</t>
  </si>
  <si>
    <t>4.4.5.1.1.00.00 - Remuneração de Depósitos Bancários - Consolidação</t>
  </si>
  <si>
    <t>4.4.5.2.1.00.00 - Remuneração de Aplicações Financeiras - Consolidação</t>
  </si>
  <si>
    <t>SOMA  DOS JUROS E ENCARGOS ATIVOS  (VIII)</t>
  </si>
  <si>
    <t>JUROS E ENCARGOS PASSIVOS (Variações Patrimoniais Diminutivas)</t>
  </si>
  <si>
    <t>SOMA  DOS JUROS E ENCARGOS PASSIVOS (IX)</t>
  </si>
  <si>
    <t>3.4.1.1.1.00.00 - Juros e Encargos da Dívida Contratual Interna - Consolidação</t>
  </si>
  <si>
    <t>3.4.1.1.3.00.00 - Juros e Encargos da Dívida Contratual Interna - Inter Ofss - União</t>
  </si>
  <si>
    <t>3.4.1.1.4.00.00 - Juros e Encargos da Dívida Contratual Interna - Inter Ofss - Estado</t>
  </si>
  <si>
    <t>3.4.1.1.5.00.00 - Juros e Encargos da Dívida Contratual Interna - Inter Ofss - Município</t>
  </si>
  <si>
    <t>3.4.1.2.1.00.00 - Juros e Encargos da Dívida Contratual Externa - Consolidação</t>
  </si>
  <si>
    <t>3.4.1.3.1.00.00 - Juros e Encargos da Dívida Mobiliaria - Consolidação</t>
  </si>
  <si>
    <t>3.4.1.4.1.00.00 - Juros e Encargos de Empréstimos por Antecipação de Receita Orçamentária – Consolidação</t>
  </si>
  <si>
    <t>3.4.1.8.1.00.00 - Outros Juros e Encargos de Empréstimos e Financiamentos Internos – Consolidação</t>
  </si>
  <si>
    <t>3.4.1.8.3.00.00 - Outros Juros e Encargos de Empréstimos e Financiamentos Internos - Inter Ofss – União</t>
  </si>
  <si>
    <t>3.4.1.8.4.00.00 - Outros Juros e Encargos de Empréstimos e Financiamentos Internos - Inter Ofss – Estado</t>
  </si>
  <si>
    <t>3.4.1.8.5.00.00 - Outros Juros e Encargos de Empréstimos e Financiamentos Internos - Inter Ofss - Município</t>
  </si>
  <si>
    <t>3.4.1.9.1.00.00 - Outros Juros e Encargos de Empréstimos e Financiamentos Externos - Consolidação</t>
  </si>
  <si>
    <t>3.4.2.1.1.00.00 - Juros e Encargos de Mora de Empréstimos e Financiamentos Internos Obtidos - Consolidação</t>
  </si>
  <si>
    <t>3.4.2.1.3.00.00 - Juros e Encargos de Mora de Empréstimos e Financiamentos Internos Obtidos - Inter Ofss - União</t>
  </si>
  <si>
    <t>3.4.2.1.4.00.00 - Juros e Encargos de Mora de Empréstimos e Financiamentos Internos Obtidos - Inter Ofss - Estado</t>
  </si>
  <si>
    <t>3.4.2.1.5.00.00 -  Juros e Encargos de Mora de Empréstimos e Financiamentos Internos Obtidos - Inter Ofss - Município</t>
  </si>
  <si>
    <t>3.4.2.2.1.00.00 - Juros e Encargos de Mora de Empréstimos e Financiamentos Externos Obtidos - Consolidação</t>
  </si>
  <si>
    <t>RESULTADO NOMINAL  -  ACIMA DA LINHA (X = VII + VIII - IX))</t>
  </si>
  <si>
    <t xml:space="preserve">TABELA 03 - Demonstrativo da Evolução da Dívida Consolidada Líquida </t>
  </si>
  <si>
    <t>Apuração Conforme a Instrução Normativa nº 12/2017, do TCE/RS</t>
  </si>
  <si>
    <t>LEI DE DIRETRIZES ORÇAMENTÁRIAS – 2019</t>
  </si>
  <si>
    <t>LEI DE DIRETRIZES ORÇAMENTÁRIAS - 2019</t>
  </si>
  <si>
    <t>RECURSOS PRIORIZADOS PARA 2019</t>
  </si>
  <si>
    <t>ATÉ EXERC ANTERIOR - 2017</t>
  </si>
  <si>
    <t>NO EXERCÍCIO DE 2018</t>
  </si>
  <si>
    <t>A EXECUTAR EM 2019</t>
  </si>
  <si>
    <t>Lucros ou Prejuízos Acumulados</t>
  </si>
  <si>
    <t>RECEITAS DE CAPITAL - Alienaçã de Ativos (I)</t>
  </si>
  <si>
    <t>APLICAÇÃO DOS RECURSOS DA ALIENAÇÃO DE ATIVOS (II)</t>
  </si>
  <si>
    <t>Valor (III)</t>
  </si>
  <si>
    <t>Obs:  1 -   Os valores da renúncia para 2019 foram previstos de acordo com informações do setor tributário</t>
  </si>
  <si>
    <t>Inflação para 2021:</t>
  </si>
  <si>
    <t xml:space="preserve">    Dívida Mobiliária</t>
  </si>
  <si>
    <t xml:space="preserve">    Dívida Contratual (inclusive parcelamentos)</t>
  </si>
  <si>
    <t xml:space="preserve">    Precatórios posteriores a 05-05-2000</t>
  </si>
  <si>
    <t xml:space="preserve"> DÍVIDA CONSOLIDADA (I)</t>
  </si>
  <si>
    <t>DISPONIBILIDADES DE CAIXA (II)</t>
  </si>
  <si>
    <t xml:space="preserve">   Disponibilidade da Caixa Bruta</t>
  </si>
  <si>
    <t xml:space="preserve">   (-) Restos a Pagar Processados</t>
  </si>
  <si>
    <t>DIVIDA CONSOLIDADA LÍQUIDA (III = I - II)</t>
  </si>
  <si>
    <t xml:space="preserve">   Demais Haveres Financeiros</t>
  </si>
  <si>
    <t>Previsão (Saldo Médio)</t>
  </si>
  <si>
    <t>Cronograma Anual de Operações de Crédito e  de Amortização e Serviço da Dívida</t>
  </si>
  <si>
    <t>Preenchimento Opcional Cfe. Item 02.01.02.01 da 8ª Edição do MDF</t>
  </si>
  <si>
    <t>Preenchimento opcional cfe. Item 02.01.02.01 da 8ª edição do MDF</t>
  </si>
  <si>
    <r>
      <t>( R ) Deduções da Receita</t>
    </r>
    <r>
      <rPr>
        <b/>
        <sz val="10"/>
        <color indexed="10"/>
        <rFont val="Arial"/>
        <family val="2"/>
      </rPr>
      <t xml:space="preserve"> </t>
    </r>
  </si>
  <si>
    <r>
      <t>Deduções da Receita de Impostos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</si>
  <si>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Corrente</t>
    </r>
    <r>
      <rPr>
        <sz val="10"/>
        <color indexed="10"/>
        <rFont val="Arial"/>
        <family val="2"/>
      </rPr>
      <t xml:space="preserve"> (digitar com sinal negativo)</t>
    </r>
  </si>
  <si>
    <r>
      <t>Demais Deduções da Receita de Capital</t>
    </r>
    <r>
      <rPr>
        <sz val="10"/>
        <color indexed="10"/>
        <rFont val="Arial"/>
        <family val="2"/>
      </rPr>
      <t xml:space="preserve"> (digitar com sinal negativo)</t>
    </r>
  </si>
  <si>
    <t>Preenchimento Opcional Cfe 8ª Edição do MDF</t>
  </si>
  <si>
    <t xml:space="preserve">                                                                                                                                                                                  </t>
  </si>
  <si>
    <t xml:space="preserve"> </t>
  </si>
  <si>
    <t>SALDOS DE EXERCÍCIOS ANTERIORES A 2018</t>
  </si>
  <si>
    <t>Abertura de Créditos Adicionais a partir da Reserva de Contingência</t>
  </si>
  <si>
    <t xml:space="preserve">Limitação de empenhos conforme LDO </t>
  </si>
  <si>
    <t xml:space="preserve">Construção do Centro Municipal de Esporte e Lazer </t>
  </si>
  <si>
    <t>Conclusão da Rede de Esgoto Pluvial (Programa Minha Casa, Minha Vida)</t>
  </si>
  <si>
    <t>Manutenção de Prédios Públicos</t>
  </si>
  <si>
    <t xml:space="preserve">Pavimentação de Vias Públicas </t>
  </si>
  <si>
    <t>Dezapropriação para areas de recreação e lazer</t>
  </si>
  <si>
    <t>R$ 50.000,00,</t>
  </si>
  <si>
    <t xml:space="preserve">Quadra de Futebol Society </t>
  </si>
  <si>
    <t>Construção de Cobertura de Quadra</t>
  </si>
  <si>
    <t xml:space="preserve">Aquisição de Equipamentos para prática de esporte </t>
  </si>
  <si>
    <t>Pista de Caminhada</t>
  </si>
  <si>
    <t xml:space="preserve">Campo de Futebol </t>
  </si>
  <si>
    <t>Corbetura da Quadra Manoel Imas</t>
  </si>
  <si>
    <t>Município de : BARRA DO QUARAI</t>
  </si>
  <si>
    <t>LEI DE DIRETRIZES ORÇAMENTÁRIAS  PARA 2020</t>
  </si>
  <si>
    <t>Lei de Diretrizes Orçamentárias para o Exercício de 2020</t>
  </si>
  <si>
    <t>LEI DE DIRETRIZES ORÇAMENTÁRIAS PARA 2020</t>
  </si>
  <si>
    <t>EXERCÍCIO DE 2020</t>
  </si>
  <si>
    <t xml:space="preserve">EXERCÍCIO DE 2020 </t>
  </si>
  <si>
    <t>2018(a)</t>
  </si>
  <si>
    <t>2018 (b)</t>
  </si>
  <si>
    <t xml:space="preserve"> EXERCÍCIO DE 2020</t>
  </si>
  <si>
    <t>2 - Os valores da renúncia projetados para 2020 e 2021, foram claculados a partir dos valores de 2019, apli</t>
  </si>
  <si>
    <t>Valor Previsto 2020</t>
  </si>
  <si>
    <t>Estimativa de Limites de Gastos com Pessoal do Poder Executivo e Legislativo para o período de 2020 a 2022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</si>
</sst>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[$-416]dddd\,\ d&quot; de &quot;mmmm&quot; de &quot;yyyy"/>
    <numFmt numFmtId="205" formatCode="00000"/>
    <numFmt numFmtId="206" formatCode="0&quot;.&quot;0&quot;.&quot;0&quot;.&quot;0&quot;.&quot;00&quot;.&quot;0&quot;.&quot;0"/>
    <numFmt numFmtId="207" formatCode="#,##0.00_ ;\-#,##0.00\ "/>
    <numFmt numFmtId="208" formatCode="_(* #,##0_);_(* \(#,##0\);_(* &quot;-&quot;??_);_(@_)"/>
    <numFmt numFmtId="209" formatCode="&quot;Sim&quot;;&quot;Sim&quot;;&quot;Não&quot;"/>
    <numFmt numFmtId="210" formatCode="&quot;Verdadeiro&quot;;&quot;Verdadeiro&quot;;&quot;Falso&quot;"/>
    <numFmt numFmtId="211" formatCode="&quot;Ativar&quot;;&quot;Ativar&quot;;&quot;Desativar&quot;"/>
    <numFmt numFmtId="212" formatCode="[$€-2]\ #,##0.00_);[Red]\([$€-2]\ #,##0.00\)"/>
    <numFmt numFmtId="213" formatCode="0&quot;.&quot;0&quot;.&quot;0&quot;.&quot;0&quot;.&quot;0&quot;.&quot;00&quot;.&quot;00"/>
    <numFmt numFmtId="214" formatCode="&quot;Ativado&quot;;&quot;Ativado&quot;;&quot;Desativado&quot;"/>
  </numFmts>
  <fonts count="8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color indexed="57"/>
      <name val="Arial"/>
      <family val="2"/>
    </font>
    <font>
      <sz val="14"/>
      <color indexed="17"/>
      <name val="Helv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0"/>
      <name val="Helv"/>
      <family val="0"/>
    </font>
    <font>
      <u val="single"/>
      <vertAlign val="superscript"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17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8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2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 applyProtection="1">
      <alignment horizontal="left"/>
      <protection locked="0"/>
    </xf>
    <xf numFmtId="38" fontId="19" fillId="0" borderId="0" xfId="0" applyNumberFormat="1" applyFont="1" applyBorder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 vertical="center"/>
      <protection locked="0"/>
    </xf>
    <xf numFmtId="38" fontId="19" fillId="0" borderId="0" xfId="0" applyNumberFormat="1" applyFont="1" applyAlignment="1" applyProtection="1">
      <alignment/>
      <protection locked="0"/>
    </xf>
    <xf numFmtId="190" fontId="10" fillId="34" borderId="10" xfId="0" applyNumberFormat="1" applyFont="1" applyFill="1" applyBorder="1" applyAlignment="1" applyProtection="1">
      <alignment horizontal="center"/>
      <protection locked="0"/>
    </xf>
    <xf numFmtId="190" fontId="10" fillId="34" borderId="11" xfId="0" applyNumberFormat="1" applyFont="1" applyFill="1" applyBorder="1" applyAlignment="1" applyProtection="1">
      <alignment horizontal="center"/>
      <protection locked="0"/>
    </xf>
    <xf numFmtId="38" fontId="10" fillId="0" borderId="10" xfId="0" applyNumberFormat="1" applyFont="1" applyBorder="1" applyAlignment="1" applyProtection="1">
      <alignment/>
      <protection locked="0"/>
    </xf>
    <xf numFmtId="38" fontId="10" fillId="0" borderId="11" xfId="0" applyNumberFormat="1" applyFont="1" applyBorder="1" applyAlignment="1" applyProtection="1">
      <alignment/>
      <protection locked="0"/>
    </xf>
    <xf numFmtId="38" fontId="10" fillId="33" borderId="11" xfId="0" applyNumberFormat="1" applyFont="1" applyFill="1" applyBorder="1" applyAlignment="1" applyProtection="1">
      <alignment/>
      <protection locked="0"/>
    </xf>
    <xf numFmtId="38" fontId="10" fillId="0" borderId="12" xfId="0" applyNumberFormat="1" applyFont="1" applyBorder="1" applyAlignment="1" applyProtection="1">
      <alignment/>
      <protection locked="0"/>
    </xf>
    <xf numFmtId="38" fontId="10" fillId="33" borderId="13" xfId="0" applyNumberFormat="1" applyFont="1" applyFill="1" applyBorder="1" applyAlignment="1" applyProtection="1">
      <alignment/>
      <protection locked="0"/>
    </xf>
    <xf numFmtId="38" fontId="10" fillId="0" borderId="14" xfId="0" applyNumberFormat="1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4" fontId="20" fillId="33" borderId="0" xfId="52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177" fontId="0" fillId="0" borderId="15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4" fontId="6" fillId="33" borderId="0" xfId="52" applyNumberFormat="1" applyFont="1" applyFill="1" applyBorder="1" applyAlignment="1">
      <alignment/>
    </xf>
    <xf numFmtId="4" fontId="17" fillId="33" borderId="0" xfId="52" applyNumberFormat="1" applyFont="1" applyFill="1" applyBorder="1" applyAlignment="1">
      <alignment/>
    </xf>
    <xf numFmtId="0" fontId="6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73" fontId="0" fillId="0" borderId="18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177" fontId="17" fillId="0" borderId="15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Border="1" applyAlignment="1">
      <alignment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35" borderId="24" xfId="0" applyFont="1" applyFill="1" applyBorder="1" applyAlignment="1">
      <alignment horizontal="center" vertical="top" wrapText="1"/>
    </xf>
    <xf numFmtId="0" fontId="21" fillId="35" borderId="20" xfId="0" applyFont="1" applyFill="1" applyBorder="1" applyAlignment="1">
      <alignment horizontal="center" vertical="top" wrapText="1"/>
    </xf>
    <xf numFmtId="0" fontId="21" fillId="35" borderId="23" xfId="0" applyFont="1" applyFill="1" applyBorder="1" applyAlignment="1">
      <alignment horizontal="center" vertical="top" wrapText="1"/>
    </xf>
    <xf numFmtId="0" fontId="0" fillId="35" borderId="23" xfId="0" applyFill="1" applyBorder="1" applyAlignment="1">
      <alignment vertical="top" wrapText="1"/>
    </xf>
    <xf numFmtId="0" fontId="21" fillId="35" borderId="20" xfId="0" applyFont="1" applyFill="1" applyBorder="1" applyAlignment="1">
      <alignment vertical="top" wrapText="1"/>
    </xf>
    <xf numFmtId="0" fontId="21" fillId="35" borderId="23" xfId="0" applyFont="1" applyFill="1" applyBorder="1" applyAlignment="1">
      <alignment vertical="top" wrapText="1"/>
    </xf>
    <xf numFmtId="0" fontId="20" fillId="0" borderId="23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23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0" fillId="34" borderId="0" xfId="0" applyFont="1" applyFill="1" applyAlignment="1">
      <alignment/>
    </xf>
    <xf numFmtId="0" fontId="31" fillId="0" borderId="0" xfId="0" applyFont="1" applyAlignment="1" applyProtection="1">
      <alignment/>
      <protection locked="0"/>
    </xf>
    <xf numFmtId="0" fontId="29" fillId="0" borderId="0" xfId="0" applyFont="1" applyFill="1" applyAlignment="1">
      <alignment/>
    </xf>
    <xf numFmtId="177" fontId="2" fillId="0" borderId="15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0" fillId="36" borderId="0" xfId="0" applyFill="1" applyAlignment="1">
      <alignment/>
    </xf>
    <xf numFmtId="4" fontId="10" fillId="33" borderId="11" xfId="0" applyNumberFormat="1" applyFont="1" applyFill="1" applyBorder="1" applyAlignment="1" applyProtection="1">
      <alignment vertical="center"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90" fontId="1" fillId="34" borderId="10" xfId="0" applyNumberFormat="1" applyFont="1" applyFill="1" applyBorder="1" applyAlignment="1">
      <alignment horizontal="center" vertical="center"/>
    </xf>
    <xf numFmtId="190" fontId="1" fillId="34" borderId="11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/>
      <protection locked="0"/>
    </xf>
    <xf numFmtId="38" fontId="4" fillId="0" borderId="0" xfId="0" applyNumberFormat="1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3" fillId="0" borderId="0" xfId="0" applyNumberFormat="1" applyFont="1" applyFill="1" applyAlignment="1" applyProtection="1">
      <alignment/>
      <protection locked="0"/>
    </xf>
    <xf numFmtId="38" fontId="4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9" fillId="36" borderId="25" xfId="0" applyFont="1" applyFill="1" applyBorder="1" applyAlignment="1">
      <alignment/>
    </xf>
    <xf numFmtId="177" fontId="9" fillId="36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3" fontId="0" fillId="0" borderId="17" xfId="0" applyNumberFormat="1" applyFont="1" applyFill="1" applyBorder="1" applyAlignment="1">
      <alignment horizontal="right" wrapText="1"/>
    </xf>
    <xf numFmtId="43" fontId="0" fillId="0" borderId="17" xfId="0" applyNumberFormat="1" applyFont="1" applyFill="1" applyBorder="1" applyAlignment="1" applyProtection="1">
      <alignment horizontal="right"/>
      <protection locked="0"/>
    </xf>
    <xf numFmtId="0" fontId="33" fillId="37" borderId="26" xfId="0" applyFont="1" applyFill="1" applyBorder="1" applyAlignment="1" applyProtection="1">
      <alignment horizontal="center" vertical="center"/>
      <protection/>
    </xf>
    <xf numFmtId="0" fontId="33" fillId="37" borderId="15" xfId="0" applyFont="1" applyFill="1" applyBorder="1" applyAlignment="1" applyProtection="1">
      <alignment horizontal="center" vertical="center"/>
      <protection/>
    </xf>
    <xf numFmtId="49" fontId="33" fillId="37" borderId="26" xfId="0" applyNumberFormat="1" applyFont="1" applyFill="1" applyBorder="1" applyAlignment="1" applyProtection="1">
      <alignment vertical="center"/>
      <protection/>
    </xf>
    <xf numFmtId="43" fontId="33" fillId="37" borderId="15" xfId="0" applyNumberFormat="1" applyFont="1" applyFill="1" applyBorder="1" applyAlignment="1" applyProtection="1">
      <alignment vertical="center"/>
      <protection/>
    </xf>
    <xf numFmtId="49" fontId="33" fillId="37" borderId="26" xfId="0" applyNumberFormat="1" applyFont="1" applyFill="1" applyBorder="1" applyAlignment="1" applyProtection="1">
      <alignment horizontal="left" vertical="center"/>
      <protection/>
    </xf>
    <xf numFmtId="43" fontId="33" fillId="37" borderId="15" xfId="0" applyNumberFormat="1" applyFont="1" applyFill="1" applyBorder="1" applyAlignment="1" applyProtection="1">
      <alignment horizontal="left" vertical="center"/>
      <protection/>
    </xf>
    <xf numFmtId="49" fontId="34" fillId="37" borderId="0" xfId="0" applyNumberFormat="1" applyFont="1" applyFill="1" applyBorder="1" applyAlignment="1" applyProtection="1">
      <alignment horizontal="left" vertical="center"/>
      <protection/>
    </xf>
    <xf numFmtId="43" fontId="34" fillId="37" borderId="15" xfId="0" applyNumberFormat="1" applyFont="1" applyFill="1" applyBorder="1" applyAlignment="1" applyProtection="1">
      <alignment horizontal="left" vertical="center"/>
      <protection/>
    </xf>
    <xf numFmtId="0" fontId="34" fillId="37" borderId="0" xfId="0" applyFont="1" applyFill="1" applyAlignment="1" applyProtection="1">
      <alignment horizontal="left" vertical="center" indent="1"/>
      <protection/>
    </xf>
    <xf numFmtId="43" fontId="34" fillId="37" borderId="15" xfId="0" applyNumberFormat="1" applyFont="1" applyFill="1" applyBorder="1" applyAlignment="1" applyProtection="1">
      <alignment horizontal="left" vertical="center" indent="1"/>
      <protection/>
    </xf>
    <xf numFmtId="49" fontId="34" fillId="37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 indent="2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3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 indent="2"/>
    </xf>
    <xf numFmtId="49" fontId="0" fillId="0" borderId="26" xfId="0" applyNumberFormat="1" applyFont="1" applyFill="1" applyBorder="1" applyAlignment="1">
      <alignment vertical="center"/>
    </xf>
    <xf numFmtId="37" fontId="5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justify" vertical="center"/>
    </xf>
    <xf numFmtId="3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0" fontId="5" fillId="38" borderId="27" xfId="0" applyFont="1" applyFill="1" applyBorder="1" applyAlignment="1">
      <alignment horizontal="center" wrapText="1"/>
    </xf>
    <xf numFmtId="0" fontId="36" fillId="38" borderId="0" xfId="0" applyFont="1" applyFill="1" applyBorder="1" applyAlignment="1">
      <alignment horizontal="center" wrapText="1"/>
    </xf>
    <xf numFmtId="1" fontId="33" fillId="36" borderId="25" xfId="63" applyNumberFormat="1" applyFont="1" applyFill="1" applyBorder="1" applyAlignment="1" applyProtection="1">
      <alignment horizontal="center" vertical="center" wrapText="1"/>
      <protection/>
    </xf>
    <xf numFmtId="0" fontId="34" fillId="36" borderId="0" xfId="63" applyNumberFormat="1" applyFont="1" applyFill="1" applyBorder="1" applyAlignment="1" applyProtection="1">
      <alignment horizontal="left" vertical="center"/>
      <protection/>
    </xf>
    <xf numFmtId="0" fontId="34" fillId="36" borderId="0" xfId="63" applyNumberFormat="1" applyFont="1" applyFill="1" applyAlignment="1" applyProtection="1">
      <alignment horizontal="left"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208" fontId="0" fillId="36" borderId="0" xfId="63" applyNumberFormat="1" applyFont="1" applyFill="1" applyAlignment="1" applyProtection="1">
      <alignment vertical="center"/>
      <protection/>
    </xf>
    <xf numFmtId="43" fontId="34" fillId="36" borderId="30" xfId="63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Alignment="1">
      <alignment horizontal="center"/>
    </xf>
    <xf numFmtId="43" fontId="34" fillId="36" borderId="31" xfId="63" applyNumberFormat="1" applyFont="1" applyFill="1" applyBorder="1" applyAlignment="1" applyProtection="1">
      <alignment horizontal="left" vertical="center" indent="2"/>
      <protection/>
    </xf>
    <xf numFmtId="43" fontId="34" fillId="36" borderId="32" xfId="63" applyNumberFormat="1" applyFont="1" applyFill="1" applyBorder="1" applyAlignment="1" applyProtection="1">
      <alignment horizontal="left" vertical="center" indent="2"/>
      <protection/>
    </xf>
    <xf numFmtId="0" fontId="34" fillId="36" borderId="33" xfId="63" applyNumberFormat="1" applyFont="1" applyFill="1" applyBorder="1" applyAlignment="1" applyProtection="1">
      <alignment horizontal="left" vertical="center"/>
      <protection/>
    </xf>
    <xf numFmtId="0" fontId="34" fillId="36" borderId="34" xfId="63" applyNumberFormat="1" applyFont="1" applyFill="1" applyBorder="1" applyAlignment="1" applyProtection="1">
      <alignment horizontal="left" vertical="center"/>
      <protection/>
    </xf>
    <xf numFmtId="0" fontId="34" fillId="36" borderId="35" xfId="6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justify" vertical="top" wrapText="1"/>
    </xf>
    <xf numFmtId="49" fontId="17" fillId="0" borderId="36" xfId="0" applyNumberFormat="1" applyFont="1" applyBorder="1" applyAlignment="1">
      <alignment horizontal="justify" wrapText="1"/>
    </xf>
    <xf numFmtId="0" fontId="17" fillId="0" borderId="37" xfId="0" applyFont="1" applyBorder="1" applyAlignment="1">
      <alignment horizontal="justify" wrapText="1"/>
    </xf>
    <xf numFmtId="0" fontId="17" fillId="0" borderId="38" xfId="0" applyFont="1" applyBorder="1" applyAlignment="1">
      <alignment horizontal="justify" wrapText="1"/>
    </xf>
    <xf numFmtId="0" fontId="17" fillId="0" borderId="18" xfId="0" applyFont="1" applyFill="1" applyBorder="1" applyAlignment="1">
      <alignment wrapText="1"/>
    </xf>
    <xf numFmtId="0" fontId="17" fillId="0" borderId="0" xfId="0" applyFont="1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173" fontId="17" fillId="0" borderId="18" xfId="0" applyNumberFormat="1" applyFont="1" applyBorder="1" applyAlignment="1">
      <alignment horizontal="right" wrapText="1"/>
    </xf>
    <xf numFmtId="0" fontId="17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/>
    </xf>
    <xf numFmtId="0" fontId="5" fillId="0" borderId="39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 wrapText="1"/>
    </xf>
    <xf numFmtId="0" fontId="0" fillId="0" borderId="40" xfId="0" applyNumberFormat="1" applyFont="1" applyFill="1" applyBorder="1" applyAlignment="1">
      <alignment wrapText="1"/>
    </xf>
    <xf numFmtId="0" fontId="0" fillId="0" borderId="39" xfId="0" applyNumberFormat="1" applyFont="1" applyFill="1" applyBorder="1" applyAlignment="1">
      <alignment wrapText="1"/>
    </xf>
    <xf numFmtId="37" fontId="5" fillId="0" borderId="4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37" fontId="5" fillId="0" borderId="39" xfId="0" applyNumberFormat="1" applyFont="1" applyFill="1" applyBorder="1" applyAlignment="1">
      <alignment/>
    </xf>
    <xf numFmtId="49" fontId="5" fillId="0" borderId="40" xfId="0" applyNumberFormat="1" applyFont="1" applyFill="1" applyBorder="1" applyAlignment="1">
      <alignment horizontal="justify" vertical="center"/>
    </xf>
    <xf numFmtId="0" fontId="5" fillId="0" borderId="4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justify" vertical="top" wrapText="1"/>
    </xf>
    <xf numFmtId="0" fontId="0" fillId="0" borderId="27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39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 wrapText="1"/>
    </xf>
    <xf numFmtId="0" fontId="0" fillId="0" borderId="40" xfId="0" applyNumberFormat="1" applyFont="1" applyFill="1" applyBorder="1" applyAlignment="1">
      <alignment vertical="center" wrapText="1"/>
    </xf>
    <xf numFmtId="0" fontId="0" fillId="0" borderId="39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top" wrapText="1"/>
    </xf>
    <xf numFmtId="0" fontId="5" fillId="36" borderId="16" xfId="0" applyNumberFormat="1" applyFont="1" applyFill="1" applyBorder="1" applyAlignment="1" applyProtection="1">
      <alignment horizontal="center" vertical="center"/>
      <protection locked="0"/>
    </xf>
    <xf numFmtId="190" fontId="5" fillId="36" borderId="41" xfId="0" applyNumberFormat="1" applyFont="1" applyFill="1" applyBorder="1" applyAlignment="1">
      <alignment horizontal="center" vertical="center"/>
    </xf>
    <xf numFmtId="190" fontId="38" fillId="36" borderId="42" xfId="0" applyNumberFormat="1" applyFont="1" applyFill="1" applyBorder="1" applyAlignment="1" applyProtection="1">
      <alignment horizontal="center"/>
      <protection locked="0"/>
    </xf>
    <xf numFmtId="190" fontId="38" fillId="36" borderId="43" xfId="0" applyNumberFormat="1" applyFont="1" applyFill="1" applyBorder="1" applyAlignment="1" applyProtection="1">
      <alignment horizontal="center"/>
      <protection locked="0"/>
    </xf>
    <xf numFmtId="190" fontId="38" fillId="36" borderId="44" xfId="0" applyNumberFormat="1" applyFont="1" applyFill="1" applyBorder="1" applyAlignment="1" applyProtection="1">
      <alignment horizontal="center"/>
      <protection locked="0"/>
    </xf>
    <xf numFmtId="190" fontId="38" fillId="36" borderId="45" xfId="0" applyNumberFormat="1" applyFont="1" applyFill="1" applyBorder="1" applyAlignment="1" applyProtection="1">
      <alignment horizontal="center"/>
      <protection locked="0"/>
    </xf>
    <xf numFmtId="0" fontId="5" fillId="36" borderId="0" xfId="0" applyNumberFormat="1" applyFont="1" applyFill="1" applyBorder="1" applyAlignment="1" applyProtection="1">
      <alignment horizontal="center" vertical="center"/>
      <protection locked="0"/>
    </xf>
    <xf numFmtId="189" fontId="5" fillId="36" borderId="46" xfId="47" applyFont="1" applyFill="1" applyBorder="1" applyAlignment="1">
      <alignment horizontal="center" vertical="center"/>
    </xf>
    <xf numFmtId="190" fontId="5" fillId="36" borderId="10" xfId="0" applyNumberFormat="1" applyFont="1" applyFill="1" applyBorder="1" applyAlignment="1">
      <alignment horizontal="center" vertical="center"/>
    </xf>
    <xf numFmtId="190" fontId="5" fillId="36" borderId="11" xfId="0" applyNumberFormat="1" applyFont="1" applyFill="1" applyBorder="1" applyAlignment="1">
      <alignment horizontal="center" vertical="center"/>
    </xf>
    <xf numFmtId="0" fontId="5" fillId="36" borderId="35" xfId="50" applyFont="1" applyFill="1" applyBorder="1" applyAlignment="1">
      <alignment vertical="center"/>
      <protection/>
    </xf>
    <xf numFmtId="0" fontId="5" fillId="36" borderId="35" xfId="50" applyNumberFormat="1" applyFont="1" applyFill="1" applyBorder="1" applyAlignment="1">
      <alignment vertical="center" wrapText="1"/>
      <protection/>
    </xf>
    <xf numFmtId="43" fontId="38" fillId="36" borderId="10" xfId="0" applyNumberFormat="1" applyFont="1" applyFill="1" applyBorder="1" applyAlignment="1" applyProtection="1">
      <alignment horizontal="right"/>
      <protection locked="0"/>
    </xf>
    <xf numFmtId="0" fontId="5" fillId="36" borderId="15" xfId="50" applyFont="1" applyFill="1" applyBorder="1" applyAlignment="1">
      <alignment vertical="center"/>
      <protection/>
    </xf>
    <xf numFmtId="0" fontId="5" fillId="36" borderId="15" xfId="50" applyNumberFormat="1" applyFont="1" applyFill="1" applyBorder="1" applyAlignment="1">
      <alignment vertical="center" wrapText="1"/>
      <protection/>
    </xf>
    <xf numFmtId="43" fontId="5" fillId="36" borderId="15" xfId="0" applyNumberFormat="1" applyFont="1" applyFill="1" applyBorder="1" applyAlignment="1">
      <alignment/>
    </xf>
    <xf numFmtId="0" fontId="0" fillId="36" borderId="15" xfId="50" applyFont="1" applyFill="1" applyBorder="1" applyAlignment="1">
      <alignment vertical="center"/>
      <protection/>
    </xf>
    <xf numFmtId="0" fontId="0" fillId="36" borderId="15" xfId="50" applyNumberFormat="1" applyFont="1" applyFill="1" applyBorder="1" applyAlignment="1">
      <alignment vertical="center" wrapText="1"/>
      <protection/>
    </xf>
    <xf numFmtId="43" fontId="0" fillId="36" borderId="15" xfId="0" applyNumberFormat="1" applyFont="1" applyFill="1" applyBorder="1" applyAlignment="1">
      <alignment/>
    </xf>
    <xf numFmtId="206" fontId="0" fillId="36" borderId="15" xfId="50" applyNumberFormat="1" applyFont="1" applyFill="1" applyBorder="1" applyAlignment="1">
      <alignment vertical="center" wrapText="1"/>
      <protection/>
    </xf>
    <xf numFmtId="0" fontId="0" fillId="36" borderId="40" xfId="50" applyFont="1" applyFill="1" applyBorder="1" applyAlignment="1">
      <alignment vertical="center"/>
      <protection/>
    </xf>
    <xf numFmtId="177" fontId="0" fillId="36" borderId="15" xfId="0" applyNumberFormat="1" applyFont="1" applyFill="1" applyBorder="1" applyAlignment="1">
      <alignment/>
    </xf>
    <xf numFmtId="177" fontId="5" fillId="36" borderId="15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177" fontId="1" fillId="36" borderId="15" xfId="0" applyNumberFormat="1" applyFont="1" applyFill="1" applyBorder="1" applyAlignment="1">
      <alignment/>
    </xf>
    <xf numFmtId="0" fontId="10" fillId="36" borderId="16" xfId="0" applyNumberFormat="1" applyFont="1" applyFill="1" applyBorder="1" applyAlignment="1" applyProtection="1">
      <alignment horizontal="center" vertical="center"/>
      <protection locked="0"/>
    </xf>
    <xf numFmtId="190" fontId="1" fillId="36" borderId="41" xfId="0" applyNumberFormat="1" applyFont="1" applyFill="1" applyBorder="1" applyAlignment="1">
      <alignment horizontal="center" vertical="center"/>
    </xf>
    <xf numFmtId="190" fontId="10" fillId="36" borderId="42" xfId="0" applyNumberFormat="1" applyFont="1" applyFill="1" applyBorder="1" applyAlignment="1" applyProtection="1">
      <alignment horizontal="center"/>
      <protection locked="0"/>
    </xf>
    <xf numFmtId="190" fontId="10" fillId="36" borderId="43" xfId="0" applyNumberFormat="1" applyFont="1" applyFill="1" applyBorder="1" applyAlignment="1" applyProtection="1">
      <alignment horizontal="center"/>
      <protection locked="0"/>
    </xf>
    <xf numFmtId="190" fontId="10" fillId="36" borderId="44" xfId="0" applyNumberFormat="1" applyFont="1" applyFill="1" applyBorder="1" applyAlignment="1" applyProtection="1">
      <alignment horizontal="center"/>
      <protection locked="0"/>
    </xf>
    <xf numFmtId="190" fontId="10" fillId="36" borderId="45" xfId="0" applyNumberFormat="1" applyFont="1" applyFill="1" applyBorder="1" applyAlignment="1" applyProtection="1">
      <alignment horizontal="center"/>
      <protection locked="0"/>
    </xf>
    <xf numFmtId="0" fontId="10" fillId="36" borderId="0" xfId="0" applyNumberFormat="1" applyFont="1" applyFill="1" applyBorder="1" applyAlignment="1" applyProtection="1">
      <alignment horizontal="center" vertical="center"/>
      <protection locked="0"/>
    </xf>
    <xf numFmtId="189" fontId="1" fillId="36" borderId="46" xfId="47" applyFont="1" applyFill="1" applyBorder="1" applyAlignment="1">
      <alignment horizontal="center" vertical="center"/>
    </xf>
    <xf numFmtId="190" fontId="1" fillId="36" borderId="10" xfId="0" applyNumberFormat="1" applyFont="1" applyFill="1" applyBorder="1" applyAlignment="1">
      <alignment horizontal="center" vertical="center"/>
    </xf>
    <xf numFmtId="190" fontId="1" fillId="36" borderId="11" xfId="0" applyNumberFormat="1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177" fontId="2" fillId="36" borderId="15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177" fontId="2" fillId="39" borderId="15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177" fontId="6" fillId="36" borderId="15" xfId="0" applyNumberFormat="1" applyFont="1" applyFill="1" applyBorder="1" applyAlignment="1">
      <alignment/>
    </xf>
    <xf numFmtId="177" fontId="17" fillId="36" borderId="15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left" vertical="center" wrapText="1"/>
    </xf>
    <xf numFmtId="177" fontId="6" fillId="36" borderId="15" xfId="0" applyNumberFormat="1" applyFont="1" applyFill="1" applyBorder="1" applyAlignment="1">
      <alignment horizontal="right"/>
    </xf>
    <xf numFmtId="0" fontId="17" fillId="36" borderId="47" xfId="0" applyFont="1" applyFill="1" applyBorder="1" applyAlignment="1">
      <alignment horizontal="center" vertical="top" wrapText="1"/>
    </xf>
    <xf numFmtId="0" fontId="17" fillId="36" borderId="48" xfId="0" applyFont="1" applyFill="1" applyBorder="1" applyAlignment="1">
      <alignment horizontal="center" vertical="top" wrapText="1"/>
    </xf>
    <xf numFmtId="0" fontId="17" fillId="36" borderId="49" xfId="0" applyFont="1" applyFill="1" applyBorder="1" applyAlignment="1">
      <alignment horizontal="center" wrapText="1"/>
    </xf>
    <xf numFmtId="0" fontId="17" fillId="36" borderId="50" xfId="0" applyFont="1" applyFill="1" applyBorder="1" applyAlignment="1">
      <alignment horizontal="center" vertical="top" wrapText="1"/>
    </xf>
    <xf numFmtId="0" fontId="17" fillId="36" borderId="51" xfId="0" applyFont="1" applyFill="1" applyBorder="1" applyAlignment="1">
      <alignment horizontal="center" vertical="top" wrapText="1"/>
    </xf>
    <xf numFmtId="0" fontId="17" fillId="36" borderId="37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52" xfId="0" applyFont="1" applyFill="1" applyBorder="1" applyAlignment="1">
      <alignment horizontal="center" vertical="top" wrapText="1"/>
    </xf>
    <xf numFmtId="0" fontId="17" fillId="36" borderId="53" xfId="0" applyFont="1" applyFill="1" applyBorder="1" applyAlignment="1">
      <alignment vertical="top" wrapText="1"/>
    </xf>
    <xf numFmtId="0" fontId="17" fillId="36" borderId="53" xfId="0" applyFont="1" applyFill="1" applyBorder="1" applyAlignment="1">
      <alignment horizontal="center" vertical="top" wrapText="1"/>
    </xf>
    <xf numFmtId="0" fontId="17" fillId="36" borderId="54" xfId="0" applyFont="1" applyFill="1" applyBorder="1" applyAlignment="1">
      <alignment horizontal="center" wrapText="1"/>
    </xf>
    <xf numFmtId="0" fontId="17" fillId="36" borderId="17" xfId="0" applyFont="1" applyFill="1" applyBorder="1" applyAlignment="1">
      <alignment wrapText="1"/>
    </xf>
    <xf numFmtId="43" fontId="17" fillId="40" borderId="17" xfId="0" applyNumberFormat="1" applyFont="1" applyFill="1" applyBorder="1" applyAlignment="1">
      <alignment wrapText="1"/>
    </xf>
    <xf numFmtId="4" fontId="17" fillId="40" borderId="17" xfId="0" applyNumberFormat="1" applyFont="1" applyFill="1" applyBorder="1" applyAlignment="1">
      <alignment wrapText="1"/>
    </xf>
    <xf numFmtId="0" fontId="17" fillId="36" borderId="17" xfId="0" applyFont="1" applyFill="1" applyBorder="1" applyAlignment="1">
      <alignment vertical="top" wrapText="1"/>
    </xf>
    <xf numFmtId="0" fontId="17" fillId="36" borderId="25" xfId="0" applyFont="1" applyFill="1" applyBorder="1" applyAlignment="1">
      <alignment vertical="top" wrapText="1"/>
    </xf>
    <xf numFmtId="177" fontId="17" fillId="36" borderId="34" xfId="0" applyNumberFormat="1" applyFont="1" applyFill="1" applyBorder="1" applyAlignment="1">
      <alignment vertical="top" wrapText="1"/>
    </xf>
    <xf numFmtId="0" fontId="17" fillId="36" borderId="15" xfId="0" applyFont="1" applyFill="1" applyBorder="1" applyAlignment="1">
      <alignment horizontal="center" vertical="center" wrapText="1"/>
    </xf>
    <xf numFmtId="43" fontId="0" fillId="36" borderId="23" xfId="0" applyNumberFormat="1" applyFont="1" applyFill="1" applyBorder="1" applyAlignment="1">
      <alignment horizontal="right" wrapText="1"/>
    </xf>
    <xf numFmtId="10" fontId="0" fillId="0" borderId="2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3" fontId="0" fillId="0" borderId="23" xfId="0" applyNumberFormat="1" applyFont="1" applyFill="1" applyBorder="1" applyAlignment="1">
      <alignment horizontal="right" wrapText="1"/>
    </xf>
    <xf numFmtId="17" fontId="0" fillId="0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left" wrapText="1"/>
    </xf>
    <xf numFmtId="0" fontId="0" fillId="0" borderId="55" xfId="0" applyFont="1" applyFill="1" applyBorder="1" applyAlignment="1">
      <alignment horizontal="left" wrapText="1"/>
    </xf>
    <xf numFmtId="173" fontId="0" fillId="0" borderId="56" xfId="0" applyNumberFormat="1" applyFont="1" applyFill="1" applyBorder="1" applyAlignment="1">
      <alignment horizontal="right" wrapText="1"/>
    </xf>
    <xf numFmtId="0" fontId="0" fillId="36" borderId="4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wrapText="1"/>
    </xf>
    <xf numFmtId="177" fontId="0" fillId="0" borderId="17" xfId="0" applyNumberFormat="1" applyFont="1" applyFill="1" applyBorder="1" applyAlignment="1">
      <alignment wrapText="1"/>
    </xf>
    <xf numFmtId="177" fontId="0" fillId="36" borderId="17" xfId="0" applyNumberFormat="1" applyFont="1" applyFill="1" applyBorder="1" applyAlignment="1">
      <alignment wrapText="1"/>
    </xf>
    <xf numFmtId="0" fontId="0" fillId="0" borderId="3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77" fontId="0" fillId="0" borderId="25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177" fontId="0" fillId="36" borderId="25" xfId="0" applyNumberFormat="1" applyFont="1" applyFill="1" applyBorder="1" applyAlignment="1">
      <alignment wrapText="1"/>
    </xf>
    <xf numFmtId="0" fontId="0" fillId="36" borderId="15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left"/>
    </xf>
    <xf numFmtId="0" fontId="6" fillId="0" borderId="18" xfId="0" applyFont="1" applyFill="1" applyBorder="1" applyAlignment="1">
      <alignment wrapText="1"/>
    </xf>
    <xf numFmtId="173" fontId="17" fillId="0" borderId="18" xfId="0" applyNumberFormat="1" applyFont="1" applyFill="1" applyBorder="1" applyAlignment="1">
      <alignment horizontal="right" wrapText="1"/>
    </xf>
    <xf numFmtId="0" fontId="6" fillId="36" borderId="17" xfId="0" applyFont="1" applyFill="1" applyBorder="1" applyAlignment="1">
      <alignment vertical="top" wrapText="1"/>
    </xf>
    <xf numFmtId="177" fontId="6" fillId="36" borderId="34" xfId="0" applyNumberFormat="1" applyFont="1" applyFill="1" applyBorder="1" applyAlignment="1">
      <alignment vertical="top" wrapText="1"/>
    </xf>
    <xf numFmtId="0" fontId="6" fillId="36" borderId="25" xfId="0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vertical="top" wrapText="1"/>
    </xf>
    <xf numFmtId="177" fontId="17" fillId="0" borderId="35" xfId="0" applyNumberFormat="1" applyFont="1" applyFill="1" applyBorder="1" applyAlignment="1">
      <alignment vertical="top" wrapText="1"/>
    </xf>
    <xf numFmtId="177" fontId="17" fillId="0" borderId="34" xfId="0" applyNumberFormat="1" applyFont="1" applyFill="1" applyBorder="1" applyAlignment="1">
      <alignment vertical="top" wrapText="1"/>
    </xf>
    <xf numFmtId="177" fontId="6" fillId="36" borderId="35" xfId="0" applyNumberFormat="1" applyFont="1" applyFill="1" applyBorder="1" applyAlignment="1">
      <alignment horizontal="right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177" fontId="6" fillId="34" borderId="0" xfId="0" applyNumberFormat="1" applyFont="1" applyFill="1" applyAlignment="1" applyProtection="1">
      <alignment vertical="top" wrapText="1"/>
      <protection locked="0"/>
    </xf>
    <xf numFmtId="0" fontId="17" fillId="0" borderId="17" xfId="0" applyFont="1" applyBorder="1" applyAlignment="1">
      <alignment vertical="top" wrapText="1"/>
    </xf>
    <xf numFmtId="177" fontId="17" fillId="0" borderId="0" xfId="0" applyNumberFormat="1" applyFont="1" applyAlignment="1" applyProtection="1">
      <alignment vertical="top" wrapText="1"/>
      <protection locked="0"/>
    </xf>
    <xf numFmtId="0" fontId="17" fillId="0" borderId="25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177" fontId="6" fillId="34" borderId="27" xfId="0" applyNumberFormat="1" applyFont="1" applyFill="1" applyBorder="1" applyAlignment="1" applyProtection="1">
      <alignment vertical="top" wrapText="1"/>
      <protection locked="0"/>
    </xf>
    <xf numFmtId="177" fontId="17" fillId="0" borderId="27" xfId="0" applyNumberFormat="1" applyFont="1" applyBorder="1" applyAlignment="1" applyProtection="1">
      <alignment vertical="top" wrapText="1"/>
      <protection locked="0"/>
    </xf>
    <xf numFmtId="177" fontId="6" fillId="34" borderId="27" xfId="0" applyNumberFormat="1" applyFont="1" applyFill="1" applyBorder="1" applyAlignment="1" applyProtection="1">
      <alignment horizontal="right" vertical="top" wrapText="1"/>
      <protection locked="0"/>
    </xf>
    <xf numFmtId="0" fontId="6" fillId="36" borderId="15" xfId="0" applyFont="1" applyFill="1" applyBorder="1" applyAlignment="1">
      <alignment horizontal="center" wrapText="1"/>
    </xf>
    <xf numFmtId="0" fontId="17" fillId="36" borderId="15" xfId="0" applyFont="1" applyFill="1" applyBorder="1" applyAlignment="1">
      <alignment horizontal="left" wrapText="1"/>
    </xf>
    <xf numFmtId="177" fontId="17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0" fontId="6" fillId="36" borderId="33" xfId="0" applyFont="1" applyFill="1" applyBorder="1" applyAlignment="1">
      <alignment horizontal="left" wrapText="1"/>
    </xf>
    <xf numFmtId="177" fontId="6" fillId="36" borderId="33" xfId="0" applyNumberFormat="1" applyFont="1" applyFill="1" applyBorder="1" applyAlignment="1">
      <alignment horizontal="justify" vertical="top" wrapText="1"/>
    </xf>
    <xf numFmtId="0" fontId="6" fillId="36" borderId="15" xfId="0" applyFont="1" applyFill="1" applyBorder="1" applyAlignment="1">
      <alignment horizontal="left" wrapText="1"/>
    </xf>
    <xf numFmtId="177" fontId="6" fillId="36" borderId="15" xfId="0" applyNumberFormat="1" applyFont="1" applyFill="1" applyBorder="1" applyAlignment="1">
      <alignment horizontal="justify" vertical="top" wrapText="1"/>
    </xf>
    <xf numFmtId="177" fontId="17" fillId="36" borderId="15" xfId="0" applyNumberFormat="1" applyFont="1" applyFill="1" applyBorder="1" applyAlignment="1">
      <alignment horizontal="justify" vertical="top" wrapText="1"/>
    </xf>
    <xf numFmtId="0" fontId="0" fillId="0" borderId="58" xfId="0" applyFont="1" applyFill="1" applyBorder="1" applyAlignment="1">
      <alignment wrapText="1"/>
    </xf>
    <xf numFmtId="43" fontId="0" fillId="0" borderId="15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8" xfId="0" applyFont="1" applyFill="1" applyBorder="1" applyAlignment="1">
      <alignment wrapText="1"/>
    </xf>
    <xf numFmtId="0" fontId="5" fillId="41" borderId="15" xfId="50" applyFont="1" applyFill="1" applyBorder="1" applyAlignment="1">
      <alignment vertical="center"/>
      <protection/>
    </xf>
    <xf numFmtId="0" fontId="5" fillId="41" borderId="15" xfId="50" applyNumberFormat="1" applyFont="1" applyFill="1" applyBorder="1" applyAlignment="1">
      <alignment vertical="center" wrapText="1"/>
      <protection/>
    </xf>
    <xf numFmtId="43" fontId="5" fillId="41" borderId="15" xfId="0" applyNumberFormat="1" applyFont="1" applyFill="1" applyBorder="1" applyAlignment="1">
      <alignment/>
    </xf>
    <xf numFmtId="0" fontId="0" fillId="36" borderId="15" xfId="50" applyFont="1" applyFill="1" applyBorder="1" applyAlignment="1">
      <alignment vertical="center" wrapText="1"/>
      <protection/>
    </xf>
    <xf numFmtId="0" fontId="5" fillId="38" borderId="15" xfId="50" applyFont="1" applyFill="1" applyBorder="1" applyAlignment="1">
      <alignment vertical="center"/>
      <protection/>
    </xf>
    <xf numFmtId="0" fontId="5" fillId="38" borderId="15" xfId="50" applyNumberFormat="1" applyFont="1" applyFill="1" applyBorder="1" applyAlignment="1">
      <alignment vertical="center" wrapText="1"/>
      <protection/>
    </xf>
    <xf numFmtId="43" fontId="5" fillId="38" borderId="15" xfId="0" applyNumberFormat="1" applyFont="1" applyFill="1" applyBorder="1" applyAlignment="1">
      <alignment/>
    </xf>
    <xf numFmtId="43" fontId="0" fillId="33" borderId="15" xfId="0" applyNumberFormat="1" applyFont="1" applyFill="1" applyBorder="1" applyAlignment="1">
      <alignment/>
    </xf>
    <xf numFmtId="3" fontId="41" fillId="36" borderId="15" xfId="0" applyNumberFormat="1" applyFont="1" applyFill="1" applyBorder="1" applyAlignment="1">
      <alignment horizontal="center"/>
    </xf>
    <xf numFmtId="0" fontId="41" fillId="36" borderId="15" xfId="0" applyFont="1" applyFill="1" applyBorder="1" applyAlignment="1">
      <alignment horizontal="center"/>
    </xf>
    <xf numFmtId="0" fontId="41" fillId="33" borderId="15" xfId="0" applyNumberFormat="1" applyFont="1" applyFill="1" applyBorder="1" applyAlignment="1">
      <alignment/>
    </xf>
    <xf numFmtId="43" fontId="42" fillId="33" borderId="15" xfId="0" applyNumberFormat="1" applyFont="1" applyFill="1" applyBorder="1" applyAlignment="1" applyProtection="1">
      <alignment/>
      <protection locked="0"/>
    </xf>
    <xf numFmtId="0" fontId="42" fillId="33" borderId="15" xfId="0" applyNumberFormat="1" applyFont="1" applyFill="1" applyBorder="1" applyAlignment="1">
      <alignment/>
    </xf>
    <xf numFmtId="0" fontId="41" fillId="0" borderId="15" xfId="0" applyNumberFormat="1" applyFont="1" applyBorder="1" applyAlignment="1">
      <alignment/>
    </xf>
    <xf numFmtId="0" fontId="42" fillId="0" borderId="15" xfId="0" applyNumberFormat="1" applyFont="1" applyBorder="1" applyAlignment="1">
      <alignment/>
    </xf>
    <xf numFmtId="43" fontId="42" fillId="0" borderId="15" xfId="0" applyNumberFormat="1" applyFont="1" applyBorder="1" applyAlignment="1">
      <alignment/>
    </xf>
    <xf numFmtId="0" fontId="40" fillId="0" borderId="15" xfId="0" applyNumberFormat="1" applyFont="1" applyBorder="1" applyAlignment="1">
      <alignment/>
    </xf>
    <xf numFmtId="0" fontId="42" fillId="33" borderId="59" xfId="0" applyFont="1" applyFill="1" applyBorder="1" applyAlignment="1">
      <alignment horizontal="justify" vertical="center" wrapText="1"/>
    </xf>
    <xf numFmtId="0" fontId="42" fillId="33" borderId="21" xfId="0" applyFont="1" applyFill="1" applyBorder="1" applyAlignment="1">
      <alignment horizontal="justify" vertical="center" wrapText="1"/>
    </xf>
    <xf numFmtId="0" fontId="42" fillId="33" borderId="19" xfId="0" applyFont="1" applyFill="1" applyBorder="1" applyAlignment="1">
      <alignment horizontal="justify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41" borderId="15" xfId="0" applyFont="1" applyFill="1" applyBorder="1" applyAlignment="1">
      <alignment/>
    </xf>
    <xf numFmtId="3" fontId="41" fillId="41" borderId="15" xfId="0" applyNumberFormat="1" applyFont="1" applyFill="1" applyBorder="1" applyAlignment="1">
      <alignment/>
    </xf>
    <xf numFmtId="0" fontId="42" fillId="33" borderId="60" xfId="0" applyFont="1" applyFill="1" applyBorder="1" applyAlignment="1">
      <alignment horizontal="justify" vertical="center" wrapText="1"/>
    </xf>
    <xf numFmtId="0" fontId="42" fillId="33" borderId="61" xfId="0" applyFont="1" applyFill="1" applyBorder="1" applyAlignment="1">
      <alignment horizontal="justify" vertical="center" wrapText="1"/>
    </xf>
    <xf numFmtId="0" fontId="41" fillId="34" borderId="15" xfId="0" applyFont="1" applyFill="1" applyBorder="1" applyAlignment="1">
      <alignment/>
    </xf>
    <xf numFmtId="43" fontId="41" fillId="34" borderId="15" xfId="0" applyNumberFormat="1" applyFont="1" applyFill="1" applyBorder="1" applyAlignment="1">
      <alignment/>
    </xf>
    <xf numFmtId="0" fontId="6" fillId="38" borderId="15" xfId="0" applyFont="1" applyFill="1" applyBorder="1" applyAlignment="1">
      <alignment/>
    </xf>
    <xf numFmtId="3" fontId="6" fillId="36" borderId="15" xfId="0" applyNumberFormat="1" applyFont="1" applyFill="1" applyBorder="1" applyAlignment="1">
      <alignment horizontal="center" wrapText="1"/>
    </xf>
    <xf numFmtId="177" fontId="6" fillId="38" borderId="15" xfId="0" applyNumberFormat="1" applyFont="1" applyFill="1" applyBorder="1" applyAlignment="1" applyProtection="1">
      <alignment/>
      <protection locked="0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10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35" xfId="0" applyFont="1" applyFill="1" applyBorder="1" applyAlignment="1" quotePrefix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5" fillId="0" borderId="18" xfId="0" applyFont="1" applyFill="1" applyBorder="1" applyAlignment="1">
      <alignment wrapText="1"/>
    </xf>
    <xf numFmtId="177" fontId="45" fillId="0" borderId="17" xfId="0" applyNumberFormat="1" applyFont="1" applyFill="1" applyBorder="1" applyAlignment="1" applyProtection="1">
      <alignment wrapText="1"/>
      <protection locked="0"/>
    </xf>
    <xf numFmtId="177" fontId="45" fillId="0" borderId="25" xfId="0" applyNumberFormat="1" applyFont="1" applyFill="1" applyBorder="1" applyAlignment="1" applyProtection="1">
      <alignment wrapText="1"/>
      <protection locked="0"/>
    </xf>
    <xf numFmtId="173" fontId="45" fillId="0" borderId="18" xfId="0" applyNumberFormat="1" applyFont="1" applyFill="1" applyBorder="1" applyAlignment="1">
      <alignment horizontal="right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wrapText="1"/>
    </xf>
    <xf numFmtId="0" fontId="45" fillId="0" borderId="25" xfId="0" applyFont="1" applyFill="1" applyBorder="1" applyAlignment="1">
      <alignment wrapText="1"/>
    </xf>
    <xf numFmtId="0" fontId="46" fillId="0" borderId="25" xfId="0" applyFont="1" applyFill="1" applyBorder="1" applyAlignment="1">
      <alignment wrapText="1"/>
    </xf>
    <xf numFmtId="0" fontId="46" fillId="0" borderId="18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173" fontId="45" fillId="0" borderId="18" xfId="0" applyNumberFormat="1" applyFont="1" applyFill="1" applyBorder="1" applyAlignment="1">
      <alignment horizontal="right" vertical="top" wrapText="1"/>
    </xf>
    <xf numFmtId="177" fontId="45" fillId="0" borderId="15" xfId="0" applyNumberFormat="1" applyFont="1" applyFill="1" applyBorder="1" applyAlignment="1">
      <alignment horizontal="right" vertical="center" wrapText="1"/>
    </xf>
    <xf numFmtId="177" fontId="45" fillId="0" borderId="15" xfId="0" applyNumberFormat="1" applyFont="1" applyFill="1" applyBorder="1" applyAlignment="1" applyProtection="1">
      <alignment vertical="top" wrapText="1"/>
      <protection locked="0"/>
    </xf>
    <xf numFmtId="177" fontId="45" fillId="0" borderId="17" xfId="0" applyNumberFormat="1" applyFont="1" applyFill="1" applyBorder="1" applyAlignment="1" applyProtection="1">
      <alignment vertical="top" wrapText="1"/>
      <protection locked="0"/>
    </xf>
    <xf numFmtId="177" fontId="45" fillId="0" borderId="34" xfId="0" applyNumberFormat="1" applyFont="1" applyFill="1" applyBorder="1" applyAlignment="1" applyProtection="1">
      <alignment vertical="top" wrapText="1"/>
      <protection locked="0"/>
    </xf>
    <xf numFmtId="177" fontId="45" fillId="0" borderId="25" xfId="0" applyNumberFormat="1" applyFont="1" applyFill="1" applyBorder="1" applyAlignment="1" applyProtection="1">
      <alignment vertical="top" wrapText="1"/>
      <protection locked="0"/>
    </xf>
    <xf numFmtId="177" fontId="45" fillId="0" borderId="35" xfId="0" applyNumberFormat="1" applyFont="1" applyFill="1" applyBorder="1" applyAlignment="1" applyProtection="1">
      <alignment vertical="top" wrapText="1"/>
      <protection locked="0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top" wrapText="1"/>
    </xf>
    <xf numFmtId="0" fontId="45" fillId="0" borderId="17" xfId="0" applyFont="1" applyFill="1" applyBorder="1" applyAlignment="1">
      <alignment vertical="top" wrapText="1"/>
    </xf>
    <xf numFmtId="0" fontId="45" fillId="0" borderId="25" xfId="0" applyFont="1" applyFill="1" applyBorder="1" applyAlignment="1">
      <alignment vertical="top" wrapText="1"/>
    </xf>
    <xf numFmtId="0" fontId="45" fillId="0" borderId="29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39" fontId="0" fillId="42" borderId="15" xfId="0" applyNumberFormat="1" applyFont="1" applyFill="1" applyBorder="1" applyAlignment="1" applyProtection="1">
      <alignment horizontal="center"/>
      <protection/>
    </xf>
    <xf numFmtId="0" fontId="5" fillId="43" borderId="15" xfId="0" applyFont="1" applyFill="1" applyBorder="1" applyAlignment="1">
      <alignment horizontal="center"/>
    </xf>
    <xf numFmtId="0" fontId="5" fillId="44" borderId="15" xfId="0" applyFont="1" applyFill="1" applyBorder="1" applyAlignment="1" applyProtection="1">
      <alignment/>
      <protection locked="0"/>
    </xf>
    <xf numFmtId="10" fontId="0" fillId="43" borderId="15" xfId="0" applyNumberFormat="1" applyFont="1" applyFill="1" applyBorder="1" applyAlignment="1" applyProtection="1">
      <alignment horizontal="center"/>
      <protection/>
    </xf>
    <xf numFmtId="0" fontId="5" fillId="44" borderId="15" xfId="0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39" fontId="0" fillId="43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/>
    </xf>
    <xf numFmtId="10" fontId="0" fillId="42" borderId="15" xfId="0" applyNumberFormat="1" applyFont="1" applyFill="1" applyBorder="1" applyAlignment="1" applyProtection="1">
      <alignment horizontal="center"/>
      <protection locked="0"/>
    </xf>
    <xf numFmtId="43" fontId="42" fillId="2" borderId="15" xfId="0" applyNumberFormat="1" applyFont="1" applyFill="1" applyBorder="1" applyAlignment="1" applyProtection="1">
      <alignment/>
      <protection locked="0"/>
    </xf>
    <xf numFmtId="43" fontId="42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>
      <alignment/>
    </xf>
    <xf numFmtId="43" fontId="40" fillId="2" borderId="15" xfId="0" applyNumberFormat="1" applyFont="1" applyFill="1" applyBorder="1" applyAlignment="1">
      <alignment/>
    </xf>
    <xf numFmtId="43" fontId="41" fillId="2" borderId="15" xfId="0" applyNumberFormat="1" applyFont="1" applyFill="1" applyBorder="1" applyAlignment="1" applyProtection="1">
      <alignment/>
      <protection locked="0"/>
    </xf>
    <xf numFmtId="43" fontId="0" fillId="2" borderId="17" xfId="0" applyNumberFormat="1" applyFont="1" applyFill="1" applyBorder="1" applyAlignment="1">
      <alignment horizontal="right" wrapText="1"/>
    </xf>
    <xf numFmtId="43" fontId="0" fillId="2" borderId="17" xfId="0" applyNumberFormat="1" applyFont="1" applyFill="1" applyBorder="1" applyAlignment="1" applyProtection="1">
      <alignment horizontal="right"/>
      <protection locked="0"/>
    </xf>
    <xf numFmtId="43" fontId="0" fillId="2" borderId="25" xfId="0" applyNumberFormat="1" applyFont="1" applyFill="1" applyBorder="1" applyAlignment="1" applyProtection="1">
      <alignment horizontal="right"/>
      <protection locked="0"/>
    </xf>
    <xf numFmtId="43" fontId="0" fillId="2" borderId="15" xfId="0" applyNumberFormat="1" applyFont="1" applyFill="1" applyBorder="1" applyAlignment="1">
      <alignment horizontal="right" wrapText="1"/>
    </xf>
    <xf numFmtId="10" fontId="0" fillId="2" borderId="15" xfId="0" applyNumberFormat="1" applyFont="1" applyFill="1" applyBorder="1" applyAlignment="1">
      <alignment wrapText="1"/>
    </xf>
    <xf numFmtId="43" fontId="0" fillId="2" borderId="15" xfId="0" applyNumberFormat="1" applyFont="1" applyFill="1" applyBorder="1" applyAlignment="1">
      <alignment vertical="top" wrapText="1"/>
    </xf>
    <xf numFmtId="10" fontId="0" fillId="2" borderId="15" xfId="0" applyNumberFormat="1" applyFont="1" applyFill="1" applyBorder="1" applyAlignment="1">
      <alignment horizontal="right" vertical="top" wrapText="1"/>
    </xf>
    <xf numFmtId="10" fontId="0" fillId="2" borderId="17" xfId="0" applyNumberFormat="1" applyFont="1" applyFill="1" applyBorder="1" applyAlignment="1">
      <alignment horizontal="right" vertical="top"/>
    </xf>
    <xf numFmtId="43" fontId="0" fillId="2" borderId="17" xfId="0" applyNumberFormat="1" applyFont="1" applyFill="1" applyBorder="1" applyAlignment="1">
      <alignment horizontal="right" vertical="top"/>
    </xf>
    <xf numFmtId="10" fontId="0" fillId="2" borderId="17" xfId="0" applyNumberFormat="1" applyFont="1" applyFill="1" applyBorder="1" applyAlignment="1">
      <alignment horizontal="right" vertical="top" wrapText="1"/>
    </xf>
    <xf numFmtId="43" fontId="0" fillId="2" borderId="17" xfId="0" applyNumberFormat="1" applyFont="1" applyFill="1" applyBorder="1" applyAlignment="1">
      <alignment horizontal="right"/>
    </xf>
    <xf numFmtId="43" fontId="0" fillId="2" borderId="25" xfId="0" applyNumberFormat="1" applyFont="1" applyFill="1" applyBorder="1" applyAlignment="1">
      <alignment horizontal="right"/>
    </xf>
    <xf numFmtId="177" fontId="45" fillId="2" borderId="17" xfId="0" applyNumberFormat="1" applyFont="1" applyFill="1" applyBorder="1" applyAlignment="1">
      <alignment wrapText="1"/>
    </xf>
    <xf numFmtId="10" fontId="45" fillId="2" borderId="17" xfId="0" applyNumberFormat="1" applyFont="1" applyFill="1" applyBorder="1" applyAlignment="1">
      <alignment wrapText="1"/>
    </xf>
    <xf numFmtId="177" fontId="45" fillId="2" borderId="17" xfId="0" applyNumberFormat="1" applyFont="1" applyFill="1" applyBorder="1" applyAlignment="1" applyProtection="1">
      <alignment wrapText="1"/>
      <protection locked="0"/>
    </xf>
    <xf numFmtId="177" fontId="45" fillId="2" borderId="25" xfId="0" applyNumberFormat="1" applyFont="1" applyFill="1" applyBorder="1" applyAlignment="1" applyProtection="1">
      <alignment wrapText="1"/>
      <protection locked="0"/>
    </xf>
    <xf numFmtId="10" fontId="45" fillId="2" borderId="25" xfId="0" applyNumberFormat="1" applyFont="1" applyFill="1" applyBorder="1" applyAlignment="1">
      <alignment wrapText="1"/>
    </xf>
    <xf numFmtId="177" fontId="45" fillId="2" borderId="25" xfId="0" applyNumberFormat="1" applyFont="1" applyFill="1" applyBorder="1" applyAlignment="1">
      <alignment wrapText="1"/>
    </xf>
    <xf numFmtId="177" fontId="45" fillId="42" borderId="17" xfId="0" applyNumberFormat="1" applyFont="1" applyFill="1" applyBorder="1" applyAlignment="1" applyProtection="1">
      <alignment wrapText="1"/>
      <protection locked="0"/>
    </xf>
    <xf numFmtId="177" fontId="45" fillId="2" borderId="17" xfId="0" applyNumberFormat="1" applyFont="1" applyFill="1" applyBorder="1" applyAlignment="1">
      <alignment horizontal="center" vertical="center" wrapText="1"/>
    </xf>
    <xf numFmtId="177" fontId="46" fillId="2" borderId="15" xfId="0" applyNumberFormat="1" applyFont="1" applyFill="1" applyBorder="1" applyAlignment="1">
      <alignment vertical="top" wrapText="1"/>
    </xf>
    <xf numFmtId="177" fontId="45" fillId="2" borderId="15" xfId="0" applyNumberFormat="1" applyFont="1" applyFill="1" applyBorder="1" applyAlignment="1" applyProtection="1">
      <alignment vertical="top" wrapText="1"/>
      <protection locked="0"/>
    </xf>
    <xf numFmtId="43" fontId="45" fillId="2" borderId="33" xfId="0" applyNumberFormat="1" applyFont="1" applyFill="1" applyBorder="1" applyAlignment="1" applyProtection="1">
      <alignment vertical="top" wrapText="1"/>
      <protection locked="0"/>
    </xf>
    <xf numFmtId="177" fontId="45" fillId="2" borderId="17" xfId="0" applyNumberFormat="1" applyFont="1" applyFill="1" applyBorder="1" applyAlignment="1">
      <alignment vertical="top" wrapText="1"/>
    </xf>
    <xf numFmtId="177" fontId="45" fillId="2" borderId="34" xfId="0" applyNumberFormat="1" applyFont="1" applyFill="1" applyBorder="1" applyAlignment="1">
      <alignment vertical="top" wrapText="1"/>
    </xf>
    <xf numFmtId="177" fontId="45" fillId="2" borderId="25" xfId="0" applyNumberFormat="1" applyFont="1" applyFill="1" applyBorder="1" applyAlignment="1" applyProtection="1">
      <alignment vertical="top" wrapText="1"/>
      <protection locked="0"/>
    </xf>
    <xf numFmtId="177" fontId="45" fillId="2" borderId="35" xfId="0" applyNumberFormat="1" applyFont="1" applyFill="1" applyBorder="1" applyAlignment="1" applyProtection="1">
      <alignment vertical="top" wrapText="1"/>
      <protection locked="0"/>
    </xf>
    <xf numFmtId="177" fontId="45" fillId="2" borderId="15" xfId="0" applyNumberFormat="1" applyFont="1" applyFill="1" applyBorder="1" applyAlignment="1">
      <alignment vertical="top" wrapText="1"/>
    </xf>
    <xf numFmtId="10" fontId="0" fillId="0" borderId="22" xfId="0" applyNumberFormat="1" applyFont="1" applyFill="1" applyBorder="1" applyAlignment="1">
      <alignment horizontal="center" wrapText="1"/>
    </xf>
    <xf numFmtId="10" fontId="0" fillId="43" borderId="15" xfId="0" applyNumberFormat="1" applyFont="1" applyFill="1" applyBorder="1" applyAlignment="1">
      <alignment horizontal="center"/>
    </xf>
    <xf numFmtId="39" fontId="0" fillId="43" borderId="15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wrapText="1"/>
    </xf>
    <xf numFmtId="167" fontId="0" fillId="0" borderId="23" xfId="0" applyNumberFormat="1" applyFont="1" applyFill="1" applyBorder="1" applyAlignment="1">
      <alignment wrapText="1"/>
    </xf>
    <xf numFmtId="167" fontId="0" fillId="0" borderId="23" xfId="0" applyNumberFormat="1" applyFont="1" applyFill="1" applyBorder="1" applyAlignment="1">
      <alignment horizontal="right" wrapText="1"/>
    </xf>
    <xf numFmtId="43" fontId="0" fillId="0" borderId="62" xfId="0" applyNumberFormat="1" applyFont="1" applyFill="1" applyBorder="1" applyAlignment="1">
      <alignment horizontal="right" wrapText="1"/>
    </xf>
    <xf numFmtId="43" fontId="0" fillId="0" borderId="60" xfId="0" applyNumberFormat="1" applyFont="1" applyFill="1" applyBorder="1" applyAlignment="1">
      <alignment horizontal="center" wrapText="1"/>
    </xf>
    <xf numFmtId="43" fontId="0" fillId="0" borderId="61" xfId="0" applyNumberFormat="1" applyFont="1" applyFill="1" applyBorder="1" applyAlignment="1">
      <alignment horizontal="right" wrapText="1"/>
    </xf>
    <xf numFmtId="43" fontId="0" fillId="0" borderId="60" xfId="0" applyNumberFormat="1" applyFont="1" applyFill="1" applyBorder="1" applyAlignment="1">
      <alignment horizontal="right" wrapText="1"/>
    </xf>
    <xf numFmtId="167" fontId="0" fillId="0" borderId="6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wrapText="1"/>
    </xf>
    <xf numFmtId="14" fontId="0" fillId="0" borderId="23" xfId="0" applyNumberFormat="1" applyFont="1" applyFill="1" applyBorder="1" applyAlignment="1">
      <alignment horizontal="center" wrapText="1"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1" fillId="0" borderId="63" xfId="0" applyFont="1" applyBorder="1" applyAlignment="1">
      <alignment/>
    </xf>
    <xf numFmtId="0" fontId="21" fillId="0" borderId="64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8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8" xfId="0" applyFont="1" applyBorder="1" applyAlignment="1">
      <alignment/>
    </xf>
    <xf numFmtId="0" fontId="21" fillId="0" borderId="16" xfId="0" applyFont="1" applyFill="1" applyBorder="1" applyAlignment="1">
      <alignment horizontal="left"/>
    </xf>
    <xf numFmtId="43" fontId="82" fillId="0" borderId="15" xfId="0" applyNumberFormat="1" applyFont="1" applyFill="1" applyBorder="1" applyAlignment="1">
      <alignment/>
    </xf>
    <xf numFmtId="177" fontId="83" fillId="0" borderId="15" xfId="0" applyNumberFormat="1" applyFont="1" applyFill="1" applyBorder="1" applyAlignment="1">
      <alignment/>
    </xf>
    <xf numFmtId="177" fontId="84" fillId="36" borderId="15" xfId="0" applyNumberFormat="1" applyFont="1" applyFill="1" applyBorder="1" applyAlignment="1">
      <alignment/>
    </xf>
    <xf numFmtId="10" fontId="0" fillId="42" borderId="15" xfId="0" applyNumberFormat="1" applyFont="1" applyFill="1" applyBorder="1" applyAlignment="1">
      <alignment horizontal="center"/>
    </xf>
    <xf numFmtId="43" fontId="85" fillId="0" borderId="15" xfId="0" applyNumberFormat="1" applyFont="1" applyFill="1" applyBorder="1" applyAlignment="1">
      <alignment/>
    </xf>
    <xf numFmtId="177" fontId="86" fillId="36" borderId="15" xfId="0" applyNumberFormat="1" applyFont="1" applyFill="1" applyBorder="1" applyAlignment="1">
      <alignment/>
    </xf>
    <xf numFmtId="43" fontId="85" fillId="0" borderId="15" xfId="0" applyNumberFormat="1" applyFont="1" applyFill="1" applyBorder="1" applyAlignment="1">
      <alignment horizontal="right" wrapText="1"/>
    </xf>
    <xf numFmtId="10" fontId="85" fillId="42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38" fontId="20" fillId="0" borderId="36" xfId="0" applyNumberFormat="1" applyFont="1" applyBorder="1" applyAlignment="1">
      <alignment horizontal="center"/>
    </xf>
    <xf numFmtId="38" fontId="20" fillId="0" borderId="37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38" fontId="10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Alignment="1">
      <alignment horizontal="center"/>
    </xf>
    <xf numFmtId="38" fontId="33" fillId="37" borderId="0" xfId="0" applyNumberFormat="1" applyFont="1" applyFill="1" applyAlignment="1" applyProtection="1">
      <alignment horizontal="center" vertical="center" wrapText="1"/>
      <protection/>
    </xf>
    <xf numFmtId="0" fontId="0" fillId="38" borderId="0" xfId="0" applyFill="1" applyAlignment="1">
      <alignment horizontal="center" vertical="center" wrapText="1"/>
    </xf>
    <xf numFmtId="38" fontId="33" fillId="38" borderId="0" xfId="0" applyNumberFormat="1" applyFont="1" applyFill="1" applyAlignment="1" applyProtection="1">
      <alignment horizontal="center" vertical="center" wrapText="1"/>
      <protection/>
    </xf>
    <xf numFmtId="0" fontId="33" fillId="37" borderId="0" xfId="0" applyFont="1" applyFill="1" applyAlignment="1" applyProtection="1">
      <alignment horizontal="center" vertical="center" wrapText="1"/>
      <protection/>
    </xf>
    <xf numFmtId="0" fontId="33" fillId="37" borderId="27" xfId="0" applyFont="1" applyFill="1" applyBorder="1" applyAlignment="1" applyProtection="1">
      <alignment horizontal="center" vertical="center"/>
      <protection/>
    </xf>
    <xf numFmtId="0" fontId="5" fillId="38" borderId="27" xfId="0" applyFont="1" applyFill="1" applyBorder="1" applyAlignment="1">
      <alignment vertical="center"/>
    </xf>
    <xf numFmtId="49" fontId="33" fillId="36" borderId="16" xfId="0" applyNumberFormat="1" applyFont="1" applyFill="1" applyBorder="1" applyAlignment="1" applyProtection="1">
      <alignment horizontal="center" vertical="center" wrapText="1"/>
      <protection/>
    </xf>
    <xf numFmtId="0" fontId="33" fillId="36" borderId="25" xfId="0" applyFont="1" applyFill="1" applyBorder="1" applyAlignment="1" applyProtection="1">
      <alignment horizontal="center" vertical="center" wrapText="1"/>
      <protection/>
    </xf>
    <xf numFmtId="0" fontId="33" fillId="36" borderId="26" xfId="0" applyFont="1" applyFill="1" applyBorder="1" applyAlignment="1" applyProtection="1">
      <alignment horizontal="center" vertical="center" wrapText="1"/>
      <protection/>
    </xf>
    <xf numFmtId="38" fontId="33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3" fillId="36" borderId="0" xfId="0" applyNumberFormat="1" applyFont="1" applyFill="1" applyAlignment="1" applyProtection="1">
      <alignment horizontal="center" vertical="center" wrapText="1"/>
      <protection/>
    </xf>
    <xf numFmtId="0" fontId="36" fillId="38" borderId="27" xfId="0" applyFont="1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33" fillId="36" borderId="26" xfId="63" applyNumberFormat="1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40" xfId="0" applyBorder="1" applyAlignment="1">
      <alignment wrapText="1"/>
    </xf>
    <xf numFmtId="0" fontId="6" fillId="36" borderId="15" xfId="0" applyFont="1" applyFill="1" applyBorder="1" applyAlignment="1">
      <alignment horizontal="center" vertical="center" wrapText="1"/>
    </xf>
    <xf numFmtId="38" fontId="14" fillId="0" borderId="36" xfId="0" applyNumberFormat="1" applyFont="1" applyBorder="1" applyAlignment="1">
      <alignment horizontal="center"/>
    </xf>
    <xf numFmtId="38" fontId="14" fillId="0" borderId="37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1" fillId="36" borderId="15" xfId="0" applyFont="1" applyFill="1" applyBorder="1" applyAlignment="1">
      <alignment horizontal="center" vertical="center" wrapText="1"/>
    </xf>
    <xf numFmtId="38" fontId="41" fillId="0" borderId="36" xfId="0" applyNumberFormat="1" applyFont="1" applyBorder="1" applyAlignment="1">
      <alignment horizontal="center"/>
    </xf>
    <xf numFmtId="38" fontId="41" fillId="0" borderId="37" xfId="0" applyNumberFormat="1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203" fontId="21" fillId="0" borderId="33" xfId="0" applyNumberFormat="1" applyFont="1" applyFill="1" applyBorder="1" applyAlignment="1">
      <alignment textRotation="90" wrapText="1"/>
    </xf>
    <xf numFmtId="203" fontId="21" fillId="0" borderId="34" xfId="0" applyNumberFormat="1" applyFont="1" applyFill="1" applyBorder="1" applyAlignment="1">
      <alignment textRotation="90" wrapText="1"/>
    </xf>
    <xf numFmtId="203" fontId="21" fillId="0" borderId="35" xfId="0" applyNumberFormat="1" applyFont="1" applyFill="1" applyBorder="1" applyAlignment="1">
      <alignment textRotation="90" wrapText="1"/>
    </xf>
    <xf numFmtId="173" fontId="0" fillId="0" borderId="18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8" fontId="0" fillId="0" borderId="36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wrapText="1"/>
    </xf>
    <xf numFmtId="0" fontId="5" fillId="0" borderId="54" xfId="0" applyFont="1" applyFill="1" applyBorder="1" applyAlignment="1">
      <alignment wrapText="1"/>
    </xf>
    <xf numFmtId="0" fontId="5" fillId="0" borderId="55" xfId="0" applyFont="1" applyFill="1" applyBorder="1" applyAlignment="1">
      <alignment wrapText="1"/>
    </xf>
    <xf numFmtId="0" fontId="17" fillId="0" borderId="36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38" fontId="17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7" fillId="0" borderId="18" xfId="0" applyFont="1" applyBorder="1" applyAlignment="1">
      <alignment wrapText="1"/>
    </xf>
    <xf numFmtId="173" fontId="17" fillId="0" borderId="18" xfId="0" applyNumberFormat="1" applyFont="1" applyBorder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37" fillId="0" borderId="16" xfId="0" applyFont="1" applyBorder="1" applyAlignment="1">
      <alignment horizontal="left"/>
    </xf>
    <xf numFmtId="0" fontId="17" fillId="36" borderId="29" xfId="0" applyFont="1" applyFill="1" applyBorder="1" applyAlignment="1">
      <alignment horizontal="center" vertical="center" wrapText="1"/>
    </xf>
    <xf numFmtId="0" fontId="17" fillId="36" borderId="17" xfId="0" applyFont="1" applyFill="1" applyBorder="1" applyAlignment="1">
      <alignment horizontal="center" vertical="center" wrapText="1"/>
    </xf>
    <xf numFmtId="0" fontId="17" fillId="36" borderId="25" xfId="0" applyFont="1" applyFill="1" applyBorder="1" applyAlignment="1">
      <alignment horizontal="center" vertical="center" wrapText="1"/>
    </xf>
    <xf numFmtId="0" fontId="17" fillId="36" borderId="39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wrapText="1"/>
    </xf>
    <xf numFmtId="0" fontId="5" fillId="0" borderId="5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203" fontId="17" fillId="40" borderId="33" xfId="0" applyNumberFormat="1" applyFont="1" applyFill="1" applyBorder="1" applyAlignment="1">
      <alignment textRotation="90" wrapText="1"/>
    </xf>
    <xf numFmtId="0" fontId="0" fillId="0" borderId="34" xfId="0" applyBorder="1" applyAlignment="1">
      <alignment textRotation="90" wrapText="1"/>
    </xf>
    <xf numFmtId="0" fontId="0" fillId="0" borderId="35" xfId="0" applyBorder="1" applyAlignment="1">
      <alignment textRotation="90" wrapText="1"/>
    </xf>
    <xf numFmtId="203" fontId="0" fillId="0" borderId="33" xfId="0" applyNumberFormat="1" applyFont="1" applyFill="1" applyBorder="1" applyAlignment="1">
      <alignment textRotation="90" wrapText="1"/>
    </xf>
    <xf numFmtId="203" fontId="0" fillId="0" borderId="34" xfId="0" applyNumberFormat="1" applyFont="1" applyFill="1" applyBorder="1" applyAlignment="1">
      <alignment textRotation="90" wrapText="1"/>
    </xf>
    <xf numFmtId="203" fontId="0" fillId="0" borderId="35" xfId="0" applyNumberFormat="1" applyFont="1" applyFill="1" applyBorder="1" applyAlignment="1">
      <alignment textRotation="90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justify"/>
    </xf>
    <xf numFmtId="0" fontId="5" fillId="0" borderId="5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38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/>
    </xf>
    <xf numFmtId="0" fontId="46" fillId="0" borderId="16" xfId="0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6" fillId="0" borderId="26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left"/>
    </xf>
    <xf numFmtId="38" fontId="45" fillId="0" borderId="36" xfId="0" applyNumberFormat="1" applyFont="1" applyFill="1" applyBorder="1" applyAlignment="1">
      <alignment horizontal="center"/>
    </xf>
    <xf numFmtId="0" fontId="45" fillId="0" borderId="26" xfId="0" applyFont="1" applyFill="1" applyBorder="1" applyAlignment="1">
      <alignment wrapText="1"/>
    </xf>
    <xf numFmtId="0" fontId="46" fillId="0" borderId="57" xfId="0" applyFont="1" applyFill="1" applyBorder="1" applyAlignment="1">
      <alignment wrapText="1"/>
    </xf>
    <xf numFmtId="0" fontId="46" fillId="0" borderId="55" xfId="0" applyFont="1" applyFill="1" applyBorder="1" applyAlignment="1">
      <alignment wrapText="1"/>
    </xf>
    <xf numFmtId="0" fontId="45" fillId="0" borderId="2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/>
    </xf>
    <xf numFmtId="0" fontId="45" fillId="0" borderId="2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38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wrapText="1"/>
    </xf>
    <xf numFmtId="37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8" fontId="0" fillId="0" borderId="22" xfId="0" applyNumberFormat="1" applyFont="1" applyFill="1" applyBorder="1" applyAlignment="1">
      <alignment horizontal="right"/>
    </xf>
    <xf numFmtId="0" fontId="35" fillId="0" borderId="6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7" fontId="0" fillId="0" borderId="39" xfId="0" applyNumberFormat="1" applyFont="1" applyFill="1" applyBorder="1" applyAlignment="1">
      <alignment horizontal="center"/>
    </xf>
    <xf numFmtId="37" fontId="0" fillId="0" borderId="26" xfId="0" applyNumberFormat="1" applyFont="1" applyFill="1" applyBorder="1" applyAlignment="1">
      <alignment horizontal="center"/>
    </xf>
    <xf numFmtId="37" fontId="0" fillId="0" borderId="40" xfId="0" applyNumberFormat="1" applyFont="1" applyFill="1" applyBorder="1" applyAlignment="1">
      <alignment horizontal="center"/>
    </xf>
    <xf numFmtId="37" fontId="0" fillId="0" borderId="26" xfId="0" applyNumberFormat="1" applyFont="1" applyFill="1" applyBorder="1" applyAlignment="1">
      <alignment horizontal="center" vertical="center"/>
    </xf>
    <xf numFmtId="37" fontId="0" fillId="0" borderId="40" xfId="0" applyNumberFormat="1" applyFont="1" applyFill="1" applyBorder="1" applyAlignment="1">
      <alignment horizontal="center" vertical="center"/>
    </xf>
    <xf numFmtId="37" fontId="5" fillId="0" borderId="39" xfId="0" applyNumberFormat="1" applyFont="1" applyFill="1" applyBorder="1" applyAlignment="1">
      <alignment horizontal="center"/>
    </xf>
    <xf numFmtId="37" fontId="5" fillId="0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38" fontId="15" fillId="0" borderId="69" xfId="0" applyNumberFormat="1" applyFont="1" applyBorder="1" applyAlignment="1">
      <alignment horizontal="center"/>
    </xf>
    <xf numFmtId="38" fontId="15" fillId="0" borderId="0" xfId="0" applyNumberFormat="1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36" borderId="26" xfId="0" applyFont="1" applyFill="1" applyBorder="1" applyAlignment="1">
      <alignment wrapText="1"/>
    </xf>
    <xf numFmtId="0" fontId="0" fillId="36" borderId="40" xfId="0" applyFont="1" applyFill="1" applyBorder="1" applyAlignment="1">
      <alignment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 vertical="center" wrapText="1"/>
    </xf>
    <xf numFmtId="0" fontId="0" fillId="36" borderId="30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38" fontId="17" fillId="0" borderId="36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justify" wrapText="1"/>
    </xf>
    <xf numFmtId="38" fontId="17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7" fillId="0" borderId="0" xfId="0" applyFont="1" applyBorder="1" applyAlignment="1">
      <alignment horizontal="justify" wrapText="1"/>
    </xf>
    <xf numFmtId="173" fontId="17" fillId="0" borderId="0" xfId="0" applyNumberFormat="1" applyFont="1" applyBorder="1" applyAlignment="1">
      <alignment horizontal="right" wrapText="1"/>
    </xf>
    <xf numFmtId="0" fontId="6" fillId="36" borderId="35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21" fillId="35" borderId="70" xfId="0" applyFont="1" applyFill="1" applyBorder="1" applyAlignment="1">
      <alignment horizontal="center" vertical="top" wrapText="1"/>
    </xf>
    <xf numFmtId="0" fontId="21" fillId="35" borderId="62" xfId="0" applyFont="1" applyFill="1" applyBorder="1" applyAlignment="1">
      <alignment horizontal="center" vertical="top" wrapText="1"/>
    </xf>
    <xf numFmtId="0" fontId="21" fillId="35" borderId="61" xfId="0" applyFont="1" applyFill="1" applyBorder="1" applyAlignment="1">
      <alignment horizontal="center" vertical="top" wrapText="1"/>
    </xf>
    <xf numFmtId="0" fontId="21" fillId="35" borderId="70" xfId="0" applyFont="1" applyFill="1" applyBorder="1" applyAlignment="1">
      <alignment vertical="top" wrapText="1"/>
    </xf>
    <xf numFmtId="0" fontId="21" fillId="35" borderId="62" xfId="0" applyFont="1" applyFill="1" applyBorder="1" applyAlignment="1">
      <alignment vertical="top" wrapText="1"/>
    </xf>
    <xf numFmtId="0" fontId="21" fillId="35" borderId="61" xfId="0" applyFont="1" applyFill="1" applyBorder="1" applyAlignment="1">
      <alignment vertical="top" wrapText="1"/>
    </xf>
    <xf numFmtId="0" fontId="21" fillId="0" borderId="71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24" xfId="0" applyBorder="1" applyAlignment="1">
      <alignment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0" xfId="0" applyFont="1" applyBorder="1" applyAlignment="1">
      <alignment horizontal="center" vertical="top" wrapText="1"/>
    </xf>
    <xf numFmtId="0" fontId="20" fillId="0" borderId="61" xfId="0" applyFont="1" applyBorder="1" applyAlignment="1">
      <alignment horizontal="center" vertical="top" wrapText="1"/>
    </xf>
    <xf numFmtId="0" fontId="21" fillId="35" borderId="59" xfId="0" applyFont="1" applyFill="1" applyBorder="1" applyAlignment="1">
      <alignment horizontal="center" vertical="top" wrapText="1"/>
    </xf>
    <xf numFmtId="0" fontId="21" fillId="35" borderId="67" xfId="0" applyFont="1" applyFill="1" applyBorder="1" applyAlignment="1">
      <alignment horizontal="center" vertical="top" wrapText="1"/>
    </xf>
    <xf numFmtId="0" fontId="21" fillId="35" borderId="73" xfId="0" applyFont="1" applyFill="1" applyBorder="1" applyAlignment="1">
      <alignment horizontal="center" vertical="top" wrapText="1"/>
    </xf>
    <xf numFmtId="0" fontId="1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3" fontId="0" fillId="0" borderId="59" xfId="0" applyNumberFormat="1" applyFont="1" applyFill="1" applyBorder="1" applyAlignment="1">
      <alignment horizontal="right" wrapText="1"/>
    </xf>
    <xf numFmtId="43" fontId="0" fillId="0" borderId="67" xfId="0" applyNumberFormat="1" applyFont="1" applyFill="1" applyBorder="1" applyAlignment="1">
      <alignment horizontal="right" wrapText="1"/>
    </xf>
    <xf numFmtId="43" fontId="0" fillId="0" borderId="73" xfId="0" applyNumberFormat="1" applyFont="1" applyFill="1" applyBorder="1" applyAlignment="1">
      <alignment horizontal="right" wrapText="1"/>
    </xf>
    <xf numFmtId="0" fontId="5" fillId="36" borderId="70" xfId="0" applyFont="1" applyFill="1" applyBorder="1" applyAlignment="1">
      <alignment horizontal="center" wrapText="1"/>
    </xf>
    <xf numFmtId="0" fontId="5" fillId="36" borderId="61" xfId="0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59" xfId="0" applyFont="1" applyFill="1" applyBorder="1" applyAlignment="1">
      <alignment wrapText="1"/>
    </xf>
    <xf numFmtId="0" fontId="0" fillId="0" borderId="73" xfId="0" applyFont="1" applyFill="1" applyBorder="1" applyAlignment="1">
      <alignment wrapText="1"/>
    </xf>
    <xf numFmtId="0" fontId="2" fillId="0" borderId="59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9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0" fillId="0" borderId="59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3" fontId="0" fillId="0" borderId="59" xfId="0" applyNumberFormat="1" applyFont="1" applyFill="1" applyBorder="1" applyAlignment="1">
      <alignment horizontal="center" wrapText="1"/>
    </xf>
    <xf numFmtId="43" fontId="0" fillId="0" borderId="67" xfId="0" applyNumberFormat="1" applyFont="1" applyFill="1" applyBorder="1" applyAlignment="1">
      <alignment horizontal="center" wrapText="1"/>
    </xf>
    <xf numFmtId="43" fontId="0" fillId="0" borderId="73" xfId="0" applyNumberFormat="1" applyFont="1" applyFill="1" applyBorder="1" applyAlignment="1">
      <alignment horizontal="center" wrapText="1"/>
    </xf>
    <xf numFmtId="0" fontId="5" fillId="36" borderId="71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wrapText="1"/>
    </xf>
    <xf numFmtId="0" fontId="5" fillId="36" borderId="21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43" fontId="0" fillId="0" borderId="21" xfId="0" applyNumberFormat="1" applyFont="1" applyFill="1" applyBorder="1" applyAlignment="1">
      <alignment horizontal="right" wrapText="1"/>
    </xf>
    <xf numFmtId="43" fontId="0" fillId="0" borderId="22" xfId="0" applyNumberFormat="1" applyFont="1" applyFill="1" applyBorder="1" applyAlignment="1">
      <alignment horizontal="right" wrapText="1"/>
    </xf>
    <xf numFmtId="43" fontId="0" fillId="0" borderId="23" xfId="0" applyNumberFormat="1" applyFont="1" applyFill="1" applyBorder="1" applyAlignment="1">
      <alignment horizontal="right" wrapText="1"/>
    </xf>
    <xf numFmtId="0" fontId="5" fillId="36" borderId="7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center" wrapText="1"/>
    </xf>
    <xf numFmtId="43" fontId="0" fillId="0" borderId="19" xfId="0" applyNumberFormat="1" applyFont="1" applyFill="1" applyBorder="1" applyAlignment="1">
      <alignment horizontal="right" wrapText="1"/>
    </xf>
    <xf numFmtId="43" fontId="0" fillId="0" borderId="0" xfId="0" applyNumberFormat="1" applyFont="1" applyFill="1" applyBorder="1" applyAlignment="1">
      <alignment horizontal="right" wrapText="1"/>
    </xf>
    <xf numFmtId="43" fontId="0" fillId="0" borderId="20" xfId="0" applyNumberFormat="1" applyFont="1" applyFill="1" applyBorder="1" applyAlignment="1">
      <alignment horizontal="right" wrapText="1"/>
    </xf>
    <xf numFmtId="0" fontId="5" fillId="36" borderId="59" xfId="0" applyFont="1" applyFill="1" applyBorder="1" applyAlignment="1">
      <alignment horizontal="center" wrapText="1"/>
    </xf>
    <xf numFmtId="0" fontId="5" fillId="36" borderId="67" xfId="0" applyFont="1" applyFill="1" applyBorder="1" applyAlignment="1">
      <alignment horizontal="center" wrapText="1"/>
    </xf>
    <xf numFmtId="0" fontId="5" fillId="36" borderId="73" xfId="0" applyFont="1" applyFill="1" applyBorder="1" applyAlignment="1">
      <alignment horizontal="center" wrapText="1"/>
    </xf>
    <xf numFmtId="43" fontId="0" fillId="36" borderId="21" xfId="0" applyNumberFormat="1" applyFont="1" applyFill="1" applyBorder="1" applyAlignment="1">
      <alignment horizontal="right" wrapText="1"/>
    </xf>
    <xf numFmtId="43" fontId="0" fillId="36" borderId="22" xfId="0" applyNumberFormat="1" applyFont="1" applyFill="1" applyBorder="1" applyAlignment="1">
      <alignment horizontal="right" wrapText="1"/>
    </xf>
    <xf numFmtId="43" fontId="0" fillId="36" borderId="23" xfId="0" applyNumberFormat="1" applyFont="1" applyFill="1" applyBorder="1" applyAlignment="1">
      <alignment horizontal="righ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66675</xdr:rowOff>
    </xdr:from>
    <xdr:to>
      <xdr:col>6</xdr:col>
      <xdr:colOff>933450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1925" y="3086100"/>
          <a:ext cx="94678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origem/espécia/rubrica de receita e/ou grupo de natureza de despesa.</a:t>
          </a:r>
        </a:p>
      </xdr:txBody>
    </xdr:sp>
    <xdr:clientData/>
  </xdr:twoCellAnchor>
  <xdr:twoCellAnchor>
    <xdr:from>
      <xdr:col>0</xdr:col>
      <xdr:colOff>1971675</xdr:colOff>
      <xdr:row>26</xdr:row>
      <xdr:rowOff>0</xdr:rowOff>
    </xdr:from>
    <xdr:to>
      <xdr:col>6</xdr:col>
      <xdr:colOff>314325</xdr:colOff>
      <xdr:row>26</xdr:row>
      <xdr:rowOff>0</xdr:rowOff>
    </xdr:to>
    <xdr:sp>
      <xdr:nvSpPr>
        <xdr:cNvPr id="2" name="Line 6"/>
        <xdr:cNvSpPr>
          <a:spLocks/>
        </xdr:cNvSpPr>
      </xdr:nvSpPr>
      <xdr:spPr>
        <a:xfrm>
          <a:off x="1971675" y="347662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9067800" y="34766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29590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Conforme os arts. 13, 54 e 55 do Projeto de Lei das Diretrizes Orçamentárias, a estimativa de renúncia de receita deverá estar inserida na metodologia de cálculo da projeção da arrecadação efetiva dos tributos municipais. 
Dessa forma, fica observado o atendimento do disposto no art. 14, I, da LRF, o qual determina que a renúncia deve ser considerada na estimativa de receita da lei orçamentária e de que não afetará as metas de resultados fiscais. 
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85725</xdr:rowOff>
    </xdr:from>
    <xdr:to>
      <xdr:col>1</xdr:col>
      <xdr:colOff>2847975</xdr:colOff>
      <xdr:row>47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3825" y="4876800"/>
          <a:ext cx="64293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V da LRF.
Desse modo, para estimar o aumento permanente das receitas em 2020  considerou-se o incremento real, ou seja, a diferença entre os valores estimados a preços constantes das receitas  trbutárias e de transferências correntes, no biênio 2019-2020
Na mesma linha, o aumento permandente das despesas de caráter obrigatório que terão impacto em 2020, foi calculado pela diferença a valores constantes, observada no biênio 2019-2020 nos grupos de natureza de despesa "Pessoal" e "Outras Despesas Correntes", chegando-se, assim, ao saldo da margem líquida de expansão.
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4476750"/>
          <a:ext cx="55816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2020, adequar-se-ão às receitas do Município.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5429250"/>
          <a:ext cx="6791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3º da LRF.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25</xdr:row>
      <xdr:rowOff>142875</xdr:rowOff>
    </xdr:from>
    <xdr:to>
      <xdr:col>6</xdr:col>
      <xdr:colOff>485775</xdr:colOff>
      <xdr:row>35</xdr:row>
      <xdr:rowOff>114300</xdr:rowOff>
    </xdr:to>
    <xdr:sp>
      <xdr:nvSpPr>
        <xdr:cNvPr id="1" name="Rectangle 6"/>
        <xdr:cNvSpPr>
          <a:spLocks/>
        </xdr:cNvSpPr>
      </xdr:nvSpPr>
      <xdr:spPr>
        <a:xfrm>
          <a:off x="342900" y="5286375"/>
          <a:ext cx="87915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19050</xdr:rowOff>
    </xdr:from>
    <xdr:to>
      <xdr:col>12</xdr:col>
      <xdr:colOff>457200</xdr:colOff>
      <xdr:row>80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47650" y="3943350"/>
          <a:ext cx="11249025" cy="936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 1º da LRF.
Para melhor entendimento, cabem aqui os seguintes conceitos:
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investimentos permenentes e temporários;
2 – as despesas primárias correspondem ao total da despesa orçamentária deduzidas as despesas com juros e amortização da dívida, aquisição de títulos de capital integralizado e as despesas com concessão de empréstimos com retorno garantido. 
3 – o resultado primário ACIMA DA LINHA corresponde à diferença entre as receitas primárias e despesas primárias evidenciando o esforço fiscal do Município;
4 – o resultado nominal calculado pelo critério ACIMA DA LINHA foi obtido a partir do resultado primário somado ao resultado da comperação entre  os juros ativos e passivos, representado a diferença entre o saldo previsto da dívida fiscal líquida em 31 de dezembro de determinado ano em relação ao apurado em 31 de dezembro do ano anterior; 
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6 – a dívida Consolidada Líquida – DCL - corresponde à dívida pública consolidada, deduzidos os valores que compreendem o ativo disponível e os haveres financeiros, líquidos dos Restos a Pagar Processados.
Premissas e Metodologia UtilizadaS:
1 - Os parâmetros macroeconômicos utilizados na elaboração das estimativas constantes no Anexo de Metas Fiscais são relacionados na Tabela 01.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(2016, 2017 e 2018) e os valores reestimados para o exercício atual (2019),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2 -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Anexo IV.  Asseguraram-se, ainda, os recursos para pagamento das obrigações decorrentes de juros e amortização da dívida pública.
3 – No tocante às despesas com pessoal, em específico, foi considerado o provável efeito da revisão geral anual prevista na Constituição da República, o crescimento vegetativo da folha salarial e eventual aumento acima dos níveis inflacionários.
4 -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2019, 2020 e 2021, considerou-se um crescimento do Produto Interno Bruto nacional de  0,80%, 0,85% e  0,90% e das taxas de inflação (IPCA), de  3,50%,  4,00% e  4,00%, respectivamente, cujas projeções decorrem do sistema de expectativa de mercado, segundo informações do sítio do Banco Central do Brasil, verificadas em   05/08/2019.
5 - Outro ponto importante a ser destacado é que a receita do Município, conforme estabelece o § 3º, do art. 1º da Lei Complementar nº 101/00, compreende as receitas de todos os órgãos da Administração Pública Municipal, inclusive as receitas intraorçamentárias.
6 - Em relação ao cálculo do Resultado Primário e do Resultado Nominal, considerou a metodologia estabelecida na Portaria STN nº 495/2017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2019. O resultado nominal reflete a variação do endividamento fiscal líquido entre as datas referidas.
7 - Na estimativa do montante da dívida consolidada para 2019, 2020 e 2021, utilizou-se, como parâmetros a previsão da média anual para a taxa de juros SELIC,  de  1,02%, 0,95% e  0,95%, segundo informações do sítio do Banco Central do Brasil, verificadas em  05/08/2019.  
8 - Já na apuração do montante da dívida líquida, os valores das Disponibilidades Financeiras foram calculados levando-se em consideração a estimativa da posição em 31/12/2019, projetando-se os valores futuros com base nos percentuais médios dos valores realizados no ano anterior.
9 - Isso posto, podemos elencar, a partir da leitura das projeções estabelecidas para o ano de referência da LDO (2020), os números mais representativos no contexto das projeções:
9.1 - A receita total estimada para o exercício de 2019, consideradas todas as fontes de recursos é de R$ 24.001.388,34 a preços correntes que, deduzidas das receitas financeiras, representadas pelos Rendimentos das Aplicações Financeiras (R$ 13.181,23), das resultantes de Operações de Crédito (R$ 0,00), das Alienações de Investimentos (R$ 35.778,79) e das resultantes de Amortização de Empréstimos Concedidos (R$ 0,00), resultam numa Receita Primária de R$  23.952.428,32. 
9.2 -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R$ 24.001.388,34. Deduzindo-se as despesas financeiras com juros e encargos da dívida, estimadas em R$ 0,00 mais as despesas com Concessão de Empréstimos e Financiamentos, no valor de R$  0,00 e a Amortização da Dívida Publica, estimada em R$ 560.836,74, tem-se que as despesas primárias para 2020 foram previstas em R$ 23.336.535,16.
9.3 - Cotejando-se o valor previsto para as receitas e despesas primárias em valores correntes, chega-se à meta de resultado primário de 2020 que foi inicialmente prevista em R$ 615.893,16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 O detalhamento do cálculo do Resultado Primário e nominal pelo Critério ACIMA DA LINHA é evidenciado na Tabela 02.
10 - Em relação ao estoque da dívida, esse corresponde à posição em dezembro de cada exercício, considerando a previsão das amortizações e das liberações a serem realizadas no respectivo período, estando os valores evidenciados na Tabela 03
.
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0025" y="3800475"/>
          <a:ext cx="8886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9</xdr:col>
      <xdr:colOff>0</xdr:colOff>
      <xdr:row>55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85725" y="3895725"/>
          <a:ext cx="8105775" cy="5743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(2020),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</a:rPr>
            <a:t>§ 2º, inciso I da LRF.
Assim, conforme demonstrado em audiência pública de avaliação das metas fiscais relativas ao terceiro quadrimestre do exercício financeiro de 2018 (art. 9º, § 4º da LRF), o resultado primário, principal indicador de sustentabilidade fiscal do setor público, ficou em R$ 415.270,83 valor 2,04% superior à meta estabelecida, que era de R$ 520.639,26. O desempenho verificado demonstra que o ingresso das receitas primárias (não financeiras) , foi  capaz de suportar o total das despesas primárias (não financeiras) do exercício.
As receitas não financeiras totalizaram R$ 20.715.685,02 demonstrando 1,21% abaixo da projeção para o período de R$ 20.969.848,00. As despesas não financeiras atingiram R$ 19.114.958,83  estabelecendo-se  102,19%  abaixo da previsão orçamentária. Não obstante a sua retração, corresponderam a 103,84 % do total das receitas primárias não comprometendo , dessa forma, a obtenção do superávit primário.
Em parte, esse resultado é em decorrência do desempenho favorável  apresentado pela receita, tendo sido fortemente condicionado pelo comportamento das receitas correntes, que apresentaram um  incremento  de  4,1% em relação ao valor consignado no orçamento. Destaca-se no exercício de 2020 o desempenho dos grupos de receita tributária, patrimonial e de transferências correntes, que  superaram a expectativa.
A dívida consolidada totalizou R$  639.710,64,  valor  15,12% menor  ao saldo de R$ 736.477,44 estimado para o exercício. Tal comportamento é reflexo do aumento  dos desembolsos da amortização da dívida que totalizou em 2018 R$  316.820,86, valor  5,60% a mais que a projeção consignada na Lei do Orçamento de R$ 300.000,00. 
No anexo de metas fiscais, que acompanhou a LDO para 2018, estipulou-se o montante da dívida fiscal líquida em R$ (1.708.509,00). Contudo, os resultados efetivamente apurados e especificados no Relatório Resumido de Execução Orçamentária, e avaliados ao final daquele exercício apontam que o estoque da dívida, atualizado em dezembro daquele ano era de R$ (114.903,56) que, comparado com o montante apurado ao final de 2018, apresentou um resultado nominal de R$ (1.593.605,44), que ficou  abaixo da previsão inicial da LDO, que era de R$ (1.708.509,00).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448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(2020), em comparação com as estabelecidas para os três exercícios anteriores  (2017, 2018 e 2019), bem como para os dois seguintes (2021 e 2022),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II, da LRF.
Os valores relativos às previsões de Receitas, Despesas e Resultado Primário de 2017, 2018 e 2019 foram atualizados pelas respectivas Leis Orçamentárias Anuais. Já os valores da previsão do Resultado Nominal, Dívida Consolidada e Dívida Consolidada Líquida, foram extraídos dos anexos de metas fiscais das respectivas LDO.
Já em relação às previsões para os exercícios de 2019, 2020 e 2021,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37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42875" y="6162675"/>
          <a:ext cx="6800850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(2016, 2017 e 2018),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2º, inciso III, da LRF.
Nesse sentido, é preciso enfatizar que o Município segue as normas da Lei 4.320/64, não apresentando no seu balanço as nomenclaturas previstas na Lei 6.404/76. Assim, em vez de "Resultado Acumulado", ou "Lucros ou Prejupizos Acumulados" o Município utiliza a nomenclatura de "Superávit ou Déficit do Exercício".
Em termos consolidados, a evolução do Patrimônio Líquido do Município, nos últimos três exercícios, demonstrada para o período de 2017 a 2019, aponta que o saldo patrimonial decresceu de R$ 12.384.256,37 para R$ 27.025.062,34.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123825</xdr:rowOff>
    </xdr:from>
    <xdr:to>
      <xdr:col>3</xdr:col>
      <xdr:colOff>990600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5753100"/>
          <a:ext cx="70389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(2017,  2018 e 2019).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155</xdr:row>
      <xdr:rowOff>123825</xdr:rowOff>
    </xdr:from>
    <xdr:to>
      <xdr:col>7</xdr:col>
      <xdr:colOff>95250</xdr:colOff>
      <xdr:row>171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22269450"/>
          <a:ext cx="66008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°, § 2°, inciso IV, alínea “a”, da Lei de Responsabilidade Fiscal – LRF, o qual determina que o Anexo de Metas Fiscais conterá a avaliação da situação financeira e atuarial do Regime Próprio de Previdência dos Servidores – RPPS.
Os dados acima apresentados tem como base o Anexo 4 – Demonstrativo das Receitas e Despesas Previdenciárias do Regime Próprio de Previdência dos Servidores, publicado no Relatório Resumido de Execução Orçamentária – RREO do último bimestre dos exercícios financeiros de 2016, 2017 e 2018, respectivamente.
Já os resultados da avaliação atuarial foram apresentados conforme o Anexo 10 – Demonstrativo da Projeção Atuarial do Regime Próprio dos Servidores, publicado no RREO do último bimestre dos exercícios de 2018. 
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7:J26"/>
  <sheetViews>
    <sheetView showGridLines="0" zoomScale="120" zoomScaleNormal="120" zoomScaleSheetLayoutView="70" zoomScalePageLayoutView="0" workbookViewId="0" topLeftCell="A7">
      <selection activeCell="B36" sqref="B36"/>
    </sheetView>
  </sheetViews>
  <sheetFormatPr defaultColWidth="8.8515625" defaultRowHeight="12.75"/>
  <cols>
    <col min="1" max="1" width="53.57421875" style="30" customWidth="1"/>
    <col min="2" max="2" width="16.8515625" style="30" customWidth="1"/>
    <col min="3" max="3" width="16.57421875" style="30" customWidth="1"/>
    <col min="4" max="4" width="13.00390625" style="30" customWidth="1"/>
    <col min="5" max="5" width="14.57421875" style="30" customWidth="1"/>
    <col min="6" max="6" width="15.8515625" style="30" customWidth="1"/>
    <col min="7" max="7" width="15.140625" style="30" customWidth="1"/>
    <col min="8" max="8" width="0.85546875" style="30" customWidth="1"/>
    <col min="9" max="16384" width="8.8515625" style="30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495" t="s">
        <v>658</v>
      </c>
      <c r="B7" s="496"/>
      <c r="C7" s="496"/>
      <c r="D7" s="496"/>
      <c r="E7" s="496"/>
      <c r="F7" s="496"/>
      <c r="G7" s="496"/>
      <c r="H7" s="476"/>
      <c r="I7" s="476"/>
      <c r="J7" s="477"/>
    </row>
    <row r="8" spans="1:10" ht="12">
      <c r="A8" s="497" t="s">
        <v>659</v>
      </c>
      <c r="B8" s="498"/>
      <c r="C8" s="498"/>
      <c r="D8" s="498"/>
      <c r="E8" s="498"/>
      <c r="F8" s="498"/>
      <c r="G8" s="498"/>
      <c r="H8" s="476"/>
      <c r="I8" s="476"/>
      <c r="J8" s="477"/>
    </row>
    <row r="9" spans="1:10" ht="21" customHeight="1">
      <c r="A9" s="499" t="s">
        <v>156</v>
      </c>
      <c r="B9" s="500"/>
      <c r="C9" s="500"/>
      <c r="D9" s="500"/>
      <c r="E9" s="500"/>
      <c r="F9" s="500"/>
      <c r="G9" s="500"/>
      <c r="H9" s="478"/>
      <c r="I9" s="478"/>
      <c r="J9" s="479"/>
    </row>
    <row r="10" spans="1:10" ht="25.5" customHeight="1">
      <c r="A10" s="421" t="s">
        <v>520</v>
      </c>
      <c r="B10" s="421">
        <v>2017</v>
      </c>
      <c r="C10" s="421">
        <f>B10+1</f>
        <v>2018</v>
      </c>
      <c r="D10" s="421">
        <f>C10+1</f>
        <v>2019</v>
      </c>
      <c r="E10" s="421">
        <f>D10+1</f>
        <v>2020</v>
      </c>
      <c r="F10" s="421">
        <f>E10+1</f>
        <v>2021</v>
      </c>
      <c r="G10" s="421">
        <f>F10+1</f>
        <v>2022</v>
      </c>
      <c r="H10" s="38"/>
      <c r="I10" s="38"/>
      <c r="J10" s="38"/>
    </row>
    <row r="11" spans="1:7" ht="12.75">
      <c r="A11" s="422" t="s">
        <v>133</v>
      </c>
      <c r="B11" s="429">
        <v>0.0298</v>
      </c>
      <c r="C11" s="428">
        <v>0.02</v>
      </c>
      <c r="D11" s="428">
        <v>0.035</v>
      </c>
      <c r="E11" s="492">
        <v>0.04</v>
      </c>
      <c r="F11" s="492">
        <v>0.04</v>
      </c>
      <c r="G11" s="492">
        <v>0.041</v>
      </c>
    </row>
    <row r="12" spans="1:7" ht="12.75">
      <c r="A12" s="422" t="s">
        <v>134</v>
      </c>
      <c r="B12" s="429">
        <v>-0.0091</v>
      </c>
      <c r="C12" s="428">
        <v>0.01</v>
      </c>
      <c r="D12" s="428">
        <v>0.008</v>
      </c>
      <c r="E12" s="492">
        <v>0.0085</v>
      </c>
      <c r="F12" s="492">
        <v>0.009</v>
      </c>
      <c r="G12" s="492">
        <v>0.01</v>
      </c>
    </row>
    <row r="13" spans="1:7" ht="12.75">
      <c r="A13" s="424" t="s">
        <v>135</v>
      </c>
      <c r="B13" s="488">
        <v>0.0258</v>
      </c>
      <c r="C13" s="488">
        <v>0.0315</v>
      </c>
      <c r="D13" s="488">
        <v>0.0228</v>
      </c>
      <c r="E13" s="423">
        <f aca="true" t="shared" si="0" ref="E13:G20">(B13+C13+D13)/3</f>
        <v>0.0267</v>
      </c>
      <c r="F13" s="423">
        <f t="shared" si="0"/>
        <v>0.027</v>
      </c>
      <c r="G13" s="423">
        <f t="shared" si="0"/>
        <v>0.0255</v>
      </c>
    </row>
    <row r="14" spans="1:7" ht="12.75">
      <c r="A14" s="425" t="s">
        <v>136</v>
      </c>
      <c r="B14" s="488">
        <v>0.05</v>
      </c>
      <c r="C14" s="488">
        <v>0.0569</v>
      </c>
      <c r="D14" s="488">
        <v>0.0698</v>
      </c>
      <c r="E14" s="423">
        <f t="shared" si="0"/>
        <v>0.0589</v>
      </c>
      <c r="F14" s="423">
        <f t="shared" si="0"/>
        <v>0.061866666666666674</v>
      </c>
      <c r="G14" s="423">
        <f>(D14+E14+F14)/3</f>
        <v>0.06352222222222223</v>
      </c>
    </row>
    <row r="15" spans="1:7" ht="12.75">
      <c r="A15" s="425" t="s">
        <v>137</v>
      </c>
      <c r="B15" s="488">
        <v>0.08</v>
      </c>
      <c r="C15" s="488">
        <v>0.07</v>
      </c>
      <c r="D15" s="488">
        <v>0.06</v>
      </c>
      <c r="E15" s="423">
        <f t="shared" si="0"/>
        <v>0.07</v>
      </c>
      <c r="F15" s="423">
        <f t="shared" si="0"/>
        <v>0.06666666666666667</v>
      </c>
      <c r="G15" s="423">
        <f t="shared" si="0"/>
        <v>0.06555555555555555</v>
      </c>
    </row>
    <row r="16" spans="1:7" ht="12.75">
      <c r="A16" s="425" t="s">
        <v>391</v>
      </c>
      <c r="B16" s="488">
        <v>0.0636</v>
      </c>
      <c r="C16" s="488">
        <v>0.0213</v>
      </c>
      <c r="D16" s="488">
        <v>0.04</v>
      </c>
      <c r="E16" s="423">
        <f t="shared" si="0"/>
        <v>0.041633333333333335</v>
      </c>
      <c r="F16" s="423">
        <f t="shared" si="0"/>
        <v>0.03431111111111111</v>
      </c>
      <c r="G16" s="423">
        <f>(D16+E16+F16)/3</f>
        <v>0.03864814814814815</v>
      </c>
    </row>
    <row r="17" spans="1:7" ht="12.75">
      <c r="A17" s="425" t="s">
        <v>392</v>
      </c>
      <c r="B17" s="488">
        <v>0.0317</v>
      </c>
      <c r="C17" s="488">
        <v>0.032</v>
      </c>
      <c r="D17" s="488">
        <v>0.05</v>
      </c>
      <c r="E17" s="423">
        <f t="shared" si="0"/>
        <v>0.0379</v>
      </c>
      <c r="F17" s="423">
        <f t="shared" si="0"/>
        <v>0.03996666666666667</v>
      </c>
      <c r="G17" s="423">
        <f t="shared" si="0"/>
        <v>0.04262222222222223</v>
      </c>
    </row>
    <row r="18" spans="1:7" ht="12.75">
      <c r="A18" s="422" t="s">
        <v>393</v>
      </c>
      <c r="B18" s="429">
        <v>0</v>
      </c>
      <c r="C18" s="429">
        <v>0</v>
      </c>
      <c r="D18" s="429">
        <v>0</v>
      </c>
      <c r="E18" s="428">
        <v>0</v>
      </c>
      <c r="F18" s="428">
        <v>0</v>
      </c>
      <c r="G18" s="428">
        <v>0</v>
      </c>
    </row>
    <row r="19" spans="1:7" ht="12.75">
      <c r="A19" s="422" t="s">
        <v>394</v>
      </c>
      <c r="B19" s="429">
        <v>0</v>
      </c>
      <c r="C19" s="429">
        <v>0</v>
      </c>
      <c r="D19" s="429">
        <v>0</v>
      </c>
      <c r="E19" s="429">
        <v>0</v>
      </c>
      <c r="F19" s="429">
        <v>0</v>
      </c>
      <c r="G19" s="429">
        <v>0</v>
      </c>
    </row>
    <row r="20" spans="1:7" ht="12.75">
      <c r="A20" s="426" t="s">
        <v>144</v>
      </c>
      <c r="B20" s="464">
        <f>IF(Projeções!C127=0,"-",((Projeções!D127/Projeções!C127)-1)-B11-B12)</f>
        <v>0.060965044240300637</v>
      </c>
      <c r="C20" s="464">
        <f>IF(Projeções!D127=0,"-",((Projeções!E127/Projeções!D127)-1)-C11-C12)</f>
        <v>-0.17384240133510395</v>
      </c>
      <c r="D20" s="464">
        <f>IF(Projeções!E127=0,"-",((Projeções!F127/Projeções!E127)-1)-D11-D12)</f>
        <v>0.3933384617741863</v>
      </c>
      <c r="E20" s="423">
        <f t="shared" si="0"/>
        <v>0.09348703489312767</v>
      </c>
      <c r="F20" s="423">
        <f t="shared" si="0"/>
        <v>0.10432769844407001</v>
      </c>
      <c r="G20" s="423">
        <f t="shared" si="0"/>
        <v>0.197051065037128</v>
      </c>
    </row>
    <row r="21" spans="1:7" ht="12.75">
      <c r="A21" s="426" t="s">
        <v>220</v>
      </c>
      <c r="B21" s="464">
        <v>0.0094</v>
      </c>
      <c r="C21" s="464">
        <v>0.008</v>
      </c>
      <c r="D21" s="423">
        <v>0.0102</v>
      </c>
      <c r="E21" s="428">
        <v>0.0102</v>
      </c>
      <c r="F21" s="428">
        <v>0.0095</v>
      </c>
      <c r="G21" s="428">
        <v>0.0082</v>
      </c>
    </row>
    <row r="22" spans="1:7" ht="12.75">
      <c r="A22" s="426" t="s">
        <v>550</v>
      </c>
      <c r="B22" s="465">
        <v>3.29</v>
      </c>
      <c r="C22" s="465">
        <v>3.46</v>
      </c>
      <c r="D22" s="427">
        <v>3.4</v>
      </c>
      <c r="E22" s="420">
        <v>3.4</v>
      </c>
      <c r="F22" s="420">
        <v>3.5</v>
      </c>
      <c r="G22" s="420">
        <v>3.55</v>
      </c>
    </row>
    <row r="23" spans="1:7" ht="14.25">
      <c r="A23" s="47"/>
      <c r="B23" s="47"/>
      <c r="C23" s="13"/>
      <c r="D23" s="13"/>
      <c r="E23" s="13"/>
      <c r="F23" s="13"/>
      <c r="G23" s="13"/>
    </row>
    <row r="24" spans="1:7" ht="12">
      <c r="A24" s="493"/>
      <c r="B24" s="494"/>
      <c r="C24" s="494"/>
      <c r="D24" s="494"/>
      <c r="E24" s="494"/>
      <c r="F24" s="494"/>
      <c r="G24" s="494"/>
    </row>
    <row r="25" spans="1:8" ht="12">
      <c r="A25" s="494"/>
      <c r="B25" s="494"/>
      <c r="C25" s="494"/>
      <c r="D25" s="494"/>
      <c r="E25" s="494"/>
      <c r="F25" s="494"/>
      <c r="G25" s="494"/>
      <c r="H25" s="41"/>
    </row>
    <row r="26" spans="1:8" ht="12">
      <c r="A26" s="494"/>
      <c r="B26" s="494"/>
      <c r="C26" s="494"/>
      <c r="D26" s="494"/>
      <c r="E26" s="494"/>
      <c r="F26" s="494"/>
      <c r="G26" s="494"/>
      <c r="H26" s="41"/>
    </row>
  </sheetData>
  <sheetProtection/>
  <mergeCells count="4">
    <mergeCell ref="A24:G26"/>
    <mergeCell ref="A7:G7"/>
    <mergeCell ref="A8:G8"/>
    <mergeCell ref="A9:G9"/>
  </mergeCells>
  <printOptions gridLines="1"/>
  <pageMargins left="0.25" right="0.25" top="0.75" bottom="0.75" header="0.3" footer="0.3"/>
  <pageSetup horizontalDpi="600" verticalDpi="600" orientation="landscape" paperSize="9" r:id="rId2"/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A26">
      <selection activeCell="A1" sqref="A1:L44"/>
    </sheetView>
  </sheetViews>
  <sheetFormatPr defaultColWidth="9.140625" defaultRowHeight="12.75"/>
  <cols>
    <col min="1" max="1" width="25.28125" style="11" customWidth="1"/>
    <col min="2" max="2" width="14.28125" style="11" customWidth="1"/>
    <col min="3" max="3" width="13.57421875" style="11" customWidth="1"/>
    <col min="4" max="4" width="10.28125" style="11" customWidth="1"/>
    <col min="5" max="5" width="15.140625" style="11" customWidth="1"/>
    <col min="6" max="6" width="10.28125" style="11" customWidth="1"/>
    <col min="7" max="7" width="14.140625" style="11" customWidth="1"/>
    <col min="8" max="8" width="11.00390625" style="11" customWidth="1"/>
    <col min="9" max="9" width="15.140625" style="11" customWidth="1"/>
    <col min="10" max="10" width="10.7109375" style="11" customWidth="1"/>
    <col min="11" max="11" width="16.28125" style="11" customWidth="1"/>
    <col min="12" max="12" width="10.28125" style="11" customWidth="1"/>
    <col min="13" max="16384" width="9.140625" style="11" customWidth="1"/>
  </cols>
  <sheetData>
    <row r="1" spans="1:12" ht="12.75" customHeight="1">
      <c r="A1" s="556" t="str">
        <f>Parâmetros!A7</f>
        <v>Município de : BARRA DO QUARAI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4"/>
    </row>
    <row r="2" spans="1:12" ht="12.75">
      <c r="A2" s="552" t="s">
        <v>36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4"/>
    </row>
    <row r="3" spans="1:12" ht="12.75">
      <c r="A3" s="552" t="str">
        <f>'Metas Cons'!A3:M3</f>
        <v>ANEXO DE METAS FISCAIS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4"/>
    </row>
    <row r="4" spans="1:12" ht="12.75">
      <c r="A4" s="557" t="s">
        <v>126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9"/>
    </row>
    <row r="5" spans="1:12" ht="12.75">
      <c r="A5" s="552" t="s">
        <v>662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4"/>
    </row>
    <row r="6" spans="1:12" ht="12.75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4"/>
    </row>
    <row r="7" spans="1:12" ht="12.75">
      <c r="A7" s="603" t="s">
        <v>511</v>
      </c>
      <c r="B7" s="604"/>
      <c r="C7" s="56"/>
      <c r="D7" s="56"/>
      <c r="E7" s="56"/>
      <c r="F7" s="56"/>
      <c r="G7" s="56"/>
      <c r="H7" s="56"/>
      <c r="I7" s="56"/>
      <c r="J7" s="56"/>
      <c r="K7" s="56"/>
      <c r="L7" s="57">
        <v>1</v>
      </c>
    </row>
    <row r="8" spans="1:12" ht="15.75" customHeight="1">
      <c r="A8" s="53" t="s">
        <v>56</v>
      </c>
      <c r="B8" s="606" t="s">
        <v>79</v>
      </c>
      <c r="C8" s="605"/>
      <c r="D8" s="605"/>
      <c r="E8" s="605"/>
      <c r="F8" s="605"/>
      <c r="G8" s="605"/>
      <c r="H8" s="605"/>
      <c r="I8" s="605"/>
      <c r="J8" s="605"/>
      <c r="K8" s="605"/>
      <c r="L8" s="605"/>
    </row>
    <row r="9" spans="1:12" s="12" customFormat="1" ht="15.75" customHeight="1">
      <c r="A9" s="601"/>
      <c r="B9" s="546">
        <f>Parâmetros!B10</f>
        <v>2017</v>
      </c>
      <c r="C9" s="546">
        <f>B9+1</f>
        <v>2018</v>
      </c>
      <c r="D9" s="546" t="s">
        <v>119</v>
      </c>
      <c r="E9" s="546">
        <f>C9+1</f>
        <v>2019</v>
      </c>
      <c r="F9" s="546" t="s">
        <v>119</v>
      </c>
      <c r="G9" s="549">
        <f>E9+1</f>
        <v>2020</v>
      </c>
      <c r="H9" s="549" t="s">
        <v>119</v>
      </c>
      <c r="I9" s="549">
        <f>G9+1</f>
        <v>2021</v>
      </c>
      <c r="J9" s="549" t="s">
        <v>120</v>
      </c>
      <c r="K9" s="549">
        <f>I9+1</f>
        <v>2022</v>
      </c>
      <c r="L9" s="595" t="s">
        <v>119</v>
      </c>
    </row>
    <row r="10" spans="1:12" s="12" customFormat="1" ht="15.75" customHeight="1">
      <c r="A10" s="602"/>
      <c r="B10" s="548"/>
      <c r="C10" s="548"/>
      <c r="D10" s="548"/>
      <c r="E10" s="548"/>
      <c r="F10" s="548"/>
      <c r="G10" s="551"/>
      <c r="H10" s="551"/>
      <c r="I10" s="551"/>
      <c r="J10" s="551"/>
      <c r="K10" s="551"/>
      <c r="L10" s="597"/>
    </row>
    <row r="11" spans="1:12" ht="12.75">
      <c r="A11" s="393" t="s">
        <v>80</v>
      </c>
      <c r="B11" s="111">
        <v>19466387.14</v>
      </c>
      <c r="C11" s="435">
        <f>' Avaliação'!B11</f>
        <v>21092039.4</v>
      </c>
      <c r="D11" s="442">
        <f aca="true" t="shared" si="0" ref="D11:D18">IF(B11=0,"0",(C11/B11)-1)</f>
        <v>0.08351073305531709</v>
      </c>
      <c r="E11" s="111">
        <v>22970045.68</v>
      </c>
      <c r="F11" s="442">
        <f aca="true" t="shared" si="1" ref="F11:F18">IF(C11=0,"0",(E11/C11)-1)</f>
        <v>0.08903862942717633</v>
      </c>
      <c r="G11" s="443">
        <f>'Metas Cons'!B11</f>
        <v>24001388.3354281</v>
      </c>
      <c r="H11" s="444">
        <f>IF(E11=0,"0",(G11/E11)-1)</f>
        <v>0.04489946035789072</v>
      </c>
      <c r="I11" s="443">
        <f>'Metas Cons'!F11</f>
        <v>25824994.64311833</v>
      </c>
      <c r="J11" s="442">
        <f>IF(G11=0,"-",(I11/G11)-1)</f>
        <v>0.07597920096140576</v>
      </c>
      <c r="K11" s="443">
        <f>'Metas Cons'!J11</f>
        <v>27898226.185569905</v>
      </c>
      <c r="L11" s="442">
        <f>IF(I11=0,"-",(K11/I11)-1)</f>
        <v>0.08028003765739555</v>
      </c>
    </row>
    <row r="12" spans="1:12" ht="12.75">
      <c r="A12" s="393" t="s">
        <v>127</v>
      </c>
      <c r="B12" s="111">
        <v>19351381.43</v>
      </c>
      <c r="C12" s="435">
        <f>' Avaliação'!B12</f>
        <v>20969848</v>
      </c>
      <c r="D12" s="442">
        <f t="shared" si="0"/>
        <v>0.0836357123058371</v>
      </c>
      <c r="E12" s="111">
        <v>22896154.76</v>
      </c>
      <c r="F12" s="442">
        <f t="shared" si="1"/>
        <v>0.0918607879275044</v>
      </c>
      <c r="G12" s="443">
        <f>'Metas Cons'!B12</f>
        <v>23952428.31737091</v>
      </c>
      <c r="H12" s="444">
        <f aca="true" t="shared" si="2" ref="H12:H18">IF(E12=0,"0",(G12/E12)-1)</f>
        <v>0.04613322928862429</v>
      </c>
      <c r="I12" s="443">
        <f>'Metas Cons'!F12</f>
        <v>25773617.958569836</v>
      </c>
      <c r="J12" s="442">
        <f aca="true" t="shared" si="3" ref="J12:J18">IF(G12=0,"-",(I12/G12)-1)</f>
        <v>0.07603361200242698</v>
      </c>
      <c r="K12" s="443">
        <f>'Metas Cons'!J12</f>
        <v>27844208.225668773</v>
      </c>
      <c r="L12" s="442">
        <f aca="true" t="shared" si="4" ref="L12:L18">IF(I12=0,"-",(K12/I12)-1)</f>
        <v>0.08033758669145086</v>
      </c>
    </row>
    <row r="13" spans="1:12" ht="12.75">
      <c r="A13" s="393" t="s">
        <v>81</v>
      </c>
      <c r="B13" s="111">
        <v>19466387.14</v>
      </c>
      <c r="C13" s="435">
        <f>' Avaliação'!B13</f>
        <v>21092039.4</v>
      </c>
      <c r="D13" s="442">
        <f t="shared" si="0"/>
        <v>0.08351073305531709</v>
      </c>
      <c r="E13" s="111">
        <v>22970045.68</v>
      </c>
      <c r="F13" s="442">
        <f t="shared" si="1"/>
        <v>0.08903862942717633</v>
      </c>
      <c r="G13" s="443">
        <f>'Metas Cons'!B13</f>
        <v>23907768.523584023</v>
      </c>
      <c r="H13" s="444">
        <f t="shared" si="2"/>
        <v>0.04082372567506454</v>
      </c>
      <c r="I13" s="443">
        <f>'Metas Cons'!F13</f>
        <v>25953804.472442366</v>
      </c>
      <c r="J13" s="442">
        <f t="shared" si="3"/>
        <v>0.0855803814078262</v>
      </c>
      <c r="K13" s="443">
        <f>'Metas Cons'!J13</f>
        <v>28329176.861017548</v>
      </c>
      <c r="L13" s="442">
        <f t="shared" si="4"/>
        <v>0.0915230902312354</v>
      </c>
    </row>
    <row r="14" spans="1:12" ht="12.75">
      <c r="A14" s="393" t="s">
        <v>122</v>
      </c>
      <c r="B14" s="111">
        <v>18127803.95</v>
      </c>
      <c r="C14" s="435">
        <f>' Avaliação'!B14</f>
        <v>20757096</v>
      </c>
      <c r="D14" s="442">
        <f t="shared" si="0"/>
        <v>0.14504195087568794</v>
      </c>
      <c r="E14" s="111">
        <v>22375515.5</v>
      </c>
      <c r="F14" s="442">
        <f t="shared" si="1"/>
        <v>0.07796945680648193</v>
      </c>
      <c r="G14" s="443">
        <f>'Metas Cons'!B14</f>
        <v>23346931.784012683</v>
      </c>
      <c r="H14" s="444">
        <f t="shared" si="2"/>
        <v>0.043414252691192035</v>
      </c>
      <c r="I14" s="443">
        <f>'Metas Cons'!F14</f>
        <v>25370534.263288174</v>
      </c>
      <c r="J14" s="442">
        <f t="shared" si="3"/>
        <v>0.08667530697379244</v>
      </c>
      <c r="K14" s="443">
        <f>'Metas Cons'!J14</f>
        <v>27721992.57328803</v>
      </c>
      <c r="L14" s="442">
        <f t="shared" si="4"/>
        <v>0.09268461931455962</v>
      </c>
    </row>
    <row r="15" spans="1:12" ht="12.75">
      <c r="A15" s="393" t="s">
        <v>82</v>
      </c>
      <c r="B15" s="435">
        <f>B12-B14</f>
        <v>1223577.4800000004</v>
      </c>
      <c r="C15" s="435">
        <f>' Avaliação'!B15</f>
        <v>212752</v>
      </c>
      <c r="D15" s="442">
        <f t="shared" si="0"/>
        <v>-0.8261229848721963</v>
      </c>
      <c r="E15" s="435">
        <f>E12-E14</f>
        <v>520639.26000000164</v>
      </c>
      <c r="F15" s="442">
        <f t="shared" si="1"/>
        <v>1.447165056027683</v>
      </c>
      <c r="G15" s="443">
        <f>G12-G14</f>
        <v>605496.5333582275</v>
      </c>
      <c r="H15" s="444">
        <f t="shared" si="2"/>
        <v>0.1629866970812488</v>
      </c>
      <c r="I15" s="443">
        <f>I12-I14</f>
        <v>403083.69528166205</v>
      </c>
      <c r="J15" s="442">
        <f t="shared" si="3"/>
        <v>-0.3342923153563503</v>
      </c>
      <c r="K15" s="443">
        <f>K12-K14</f>
        <v>122215.65238074213</v>
      </c>
      <c r="L15" s="442">
        <f t="shared" si="4"/>
        <v>-0.6967983230000367</v>
      </c>
    </row>
    <row r="16" spans="1:12" ht="12.75">
      <c r="A16" s="393" t="s">
        <v>83</v>
      </c>
      <c r="B16" s="112">
        <v>-1708509</v>
      </c>
      <c r="C16" s="435">
        <f>' Avaliação'!B16</f>
        <v>-715701.03</v>
      </c>
      <c r="D16" s="442">
        <f t="shared" si="0"/>
        <v>-0.5810961311880709</v>
      </c>
      <c r="E16" s="112">
        <v>520639.25</v>
      </c>
      <c r="F16" s="442">
        <f t="shared" si="1"/>
        <v>-1.7274535429968572</v>
      </c>
      <c r="G16" s="443">
        <f>'Metas Cons'!B16</f>
        <v>605496.5333582275</v>
      </c>
      <c r="H16" s="444">
        <f t="shared" si="2"/>
        <v>0.16298671941892096</v>
      </c>
      <c r="I16" s="443">
        <f>'Metas Cons'!F16</f>
        <v>403083.69528166205</v>
      </c>
      <c r="J16" s="442">
        <f t="shared" si="3"/>
        <v>-0.3342923153563503</v>
      </c>
      <c r="K16" s="443">
        <f>'Metas Cons'!J16</f>
        <v>122215.65238074213</v>
      </c>
      <c r="L16" s="442">
        <f t="shared" si="4"/>
        <v>-0.6967983230000367</v>
      </c>
    </row>
    <row r="17" spans="1:12" ht="12.75">
      <c r="A17" s="393" t="s">
        <v>84</v>
      </c>
      <c r="B17" s="436">
        <f>Dívida!B7</f>
        <v>1040756.98</v>
      </c>
      <c r="C17" s="435">
        <f>' Avaliação'!B17</f>
        <v>736477.44</v>
      </c>
      <c r="D17" s="442">
        <f t="shared" si="0"/>
        <v>-0.29236367936730057</v>
      </c>
      <c r="E17" s="436">
        <f>Dívida!D7</f>
        <v>489638.68</v>
      </c>
      <c r="F17" s="442">
        <f t="shared" si="1"/>
        <v>-0.33516133230095946</v>
      </c>
      <c r="G17" s="443">
        <f>'Metas Cons'!B17</f>
        <v>723368.7666666667</v>
      </c>
      <c r="H17" s="444">
        <f t="shared" si="2"/>
        <v>0.4773521705161585</v>
      </c>
      <c r="I17" s="443">
        <f>'Metas Cons'!F17</f>
        <v>617572.6955555556</v>
      </c>
      <c r="J17" s="442">
        <f t="shared" si="3"/>
        <v>-0.14625468500475447</v>
      </c>
      <c r="K17" s="443">
        <f>'Metas Cons'!J17</f>
        <v>610193.3807407408</v>
      </c>
      <c r="L17" s="442">
        <f t="shared" si="4"/>
        <v>-0.011948900700955667</v>
      </c>
    </row>
    <row r="18" spans="1:12" ht="12.75">
      <c r="A18" s="394" t="s">
        <v>78</v>
      </c>
      <c r="B18" s="437">
        <f>Dívida!B15</f>
        <v>-114903.56000000006</v>
      </c>
      <c r="C18" s="435">
        <f>' Avaliação'!B18</f>
        <v>-715701.03</v>
      </c>
      <c r="D18" s="442">
        <f t="shared" si="0"/>
        <v>5.228710668320456</v>
      </c>
      <c r="E18" s="437">
        <f>Dívida!D15</f>
        <v>-484350.5600000001</v>
      </c>
      <c r="F18" s="442">
        <f t="shared" si="1"/>
        <v>-0.3232501565632788</v>
      </c>
      <c r="G18" s="443">
        <f>'Metas Cons'!B18</f>
        <v>-305358.32666666666</v>
      </c>
      <c r="H18" s="444">
        <f t="shared" si="2"/>
        <v>-0.36955099903948374</v>
      </c>
      <c r="I18" s="443">
        <f>'Metas Cons'!F18</f>
        <v>-368843.24888888886</v>
      </c>
      <c r="J18" s="442">
        <f t="shared" si="3"/>
        <v>0.20790303285727396</v>
      </c>
      <c r="K18" s="443">
        <f>'Metas Cons'!J18</f>
        <v>-386184.04518518527</v>
      </c>
      <c r="L18" s="442">
        <f t="shared" si="4"/>
        <v>0.04701399943887874</v>
      </c>
    </row>
    <row r="19" spans="1:12" ht="12.75">
      <c r="A19" s="605"/>
      <c r="B19" s="605"/>
      <c r="C19" s="605"/>
      <c r="D19" s="605"/>
      <c r="E19" s="605"/>
      <c r="F19" s="605"/>
      <c r="G19" s="605"/>
      <c r="H19" s="605"/>
      <c r="I19" s="605"/>
      <c r="J19" s="605"/>
      <c r="K19" s="605"/>
      <c r="L19" s="605"/>
    </row>
    <row r="20" spans="1:12" ht="15.75" customHeight="1">
      <c r="A20" s="385" t="s">
        <v>56</v>
      </c>
      <c r="B20" s="606" t="s">
        <v>85</v>
      </c>
      <c r="C20" s="605"/>
      <c r="D20" s="605"/>
      <c r="E20" s="605"/>
      <c r="F20" s="605"/>
      <c r="G20" s="605"/>
      <c r="H20" s="605"/>
      <c r="I20" s="605"/>
      <c r="J20" s="605"/>
      <c r="K20" s="605"/>
      <c r="L20" s="605"/>
    </row>
    <row r="21" spans="1:12" s="12" customFormat="1" ht="15.75" customHeight="1">
      <c r="A21" s="601"/>
      <c r="B21" s="546">
        <f>Parâmetros!B10</f>
        <v>2017</v>
      </c>
      <c r="C21" s="546">
        <f>B21+1</f>
        <v>2018</v>
      </c>
      <c r="D21" s="546" t="s">
        <v>119</v>
      </c>
      <c r="E21" s="546">
        <f>C21+1</f>
        <v>2019</v>
      </c>
      <c r="F21" s="549" t="s">
        <v>119</v>
      </c>
      <c r="G21" s="549">
        <f>E21+1</f>
        <v>2020</v>
      </c>
      <c r="H21" s="549" t="s">
        <v>119</v>
      </c>
      <c r="I21" s="549">
        <f>G21+1</f>
        <v>2021</v>
      </c>
      <c r="J21" s="549" t="s">
        <v>119</v>
      </c>
      <c r="K21" s="549">
        <f>I21+1</f>
        <v>2022</v>
      </c>
      <c r="L21" s="595" t="s">
        <v>119</v>
      </c>
    </row>
    <row r="22" spans="1:12" s="12" customFormat="1" ht="15.75" customHeight="1">
      <c r="A22" s="602"/>
      <c r="B22" s="548"/>
      <c r="C22" s="548"/>
      <c r="D22" s="548"/>
      <c r="E22" s="548"/>
      <c r="F22" s="551"/>
      <c r="G22" s="551"/>
      <c r="H22" s="551"/>
      <c r="I22" s="551"/>
      <c r="J22" s="551"/>
      <c r="K22" s="551"/>
      <c r="L22" s="597"/>
    </row>
    <row r="23" spans="1:12" ht="12.75">
      <c r="A23" s="393" t="s">
        <v>80</v>
      </c>
      <c r="B23" s="443">
        <f>B11*((1+Parâmetros!C11)*(1+Parâmetros!D11))</f>
        <v>20550664.903697997</v>
      </c>
      <c r="C23" s="435">
        <f>C11*(1+Parâmetros!D11)</f>
        <v>21830260.778999995</v>
      </c>
      <c r="D23" s="442">
        <f>IF(B23=0,"-",(C23/B23)-1)</f>
        <v>0.06226542456403639</v>
      </c>
      <c r="E23" s="435">
        <f>E11</f>
        <v>22970045.68</v>
      </c>
      <c r="F23" s="442">
        <f>IF(C23=0,"-",(E23/C23)-1)</f>
        <v>0.05221123616152301</v>
      </c>
      <c r="G23" s="443">
        <f>'Metas Cons'!C11</f>
        <v>23078258.01483471</v>
      </c>
      <c r="H23" s="442">
        <f>IF(E23=0,"-",(G23/E23)-1)</f>
        <v>0.004711019574894948</v>
      </c>
      <c r="I23" s="443">
        <f>'Metas Cons'!G11</f>
        <v>23876659.248445198</v>
      </c>
      <c r="J23" s="442">
        <f>IF(G23=0,"-",(I23/G23)-1)</f>
        <v>0.03459538553981312</v>
      </c>
      <c r="K23" s="443">
        <f>'Metas Cons'!K11</f>
        <v>24777596.879964627</v>
      </c>
      <c r="L23" s="442">
        <f>IF(I23=0,"-",(K23/I23)-1)</f>
        <v>0.03773298526166702</v>
      </c>
    </row>
    <row r="24" spans="1:12" ht="12.75">
      <c r="A24" s="393" t="s">
        <v>127</v>
      </c>
      <c r="B24" s="443">
        <f>B12*((1+Parâmetros!C11)*(1+Parâmetros!D11))</f>
        <v>20429253.375651</v>
      </c>
      <c r="C24" s="435">
        <f>C12*(1+Parâmetros!D11)</f>
        <v>21703792.68</v>
      </c>
      <c r="D24" s="442">
        <f aca="true" t="shared" si="5" ref="D24:D30">IF(B24=0,"-",(C24/B24)-1)</f>
        <v>0.06238795324101698</v>
      </c>
      <c r="E24" s="435">
        <f>E12</f>
        <v>22896154.76</v>
      </c>
      <c r="F24" s="442">
        <f>IF(C24=0,"-",(E24/C24)-1)</f>
        <v>0.0549379593502457</v>
      </c>
      <c r="G24" s="445">
        <f>'Metas Cons'!C12</f>
        <v>23031181.074395105</v>
      </c>
      <c r="H24" s="442">
        <f aca="true" t="shared" si="6" ref="H24:H30">IF(E24=0,"-",(G24/E24)-1)</f>
        <v>0.005897335854446517</v>
      </c>
      <c r="I24" s="445">
        <f>'Metas Cons'!G12</f>
        <v>23829158.615541637</v>
      </c>
      <c r="J24" s="442">
        <f aca="true" t="shared" si="7" ref="J24:J30">IF(G24=0,"-",(I24/G24)-1)</f>
        <v>0.03464770384848759</v>
      </c>
      <c r="K24" s="445">
        <f>'Metas Cons'!K12</f>
        <v>24729621.24073203</v>
      </c>
      <c r="L24" s="442">
        <f aca="true" t="shared" si="8" ref="L24:L30">IF(I24=0,"-",(K24/I24)-1)</f>
        <v>0.03778826771513044</v>
      </c>
    </row>
    <row r="25" spans="1:12" ht="12.75">
      <c r="A25" s="393" t="s">
        <v>81</v>
      </c>
      <c r="B25" s="443">
        <f>B13*((1+Parâmetros!C11)*(1+Parâmetros!D11))</f>
        <v>20550664.903697997</v>
      </c>
      <c r="C25" s="435">
        <f>C13*(1+Parâmetros!D11)</f>
        <v>21830260.778999995</v>
      </c>
      <c r="D25" s="442">
        <f t="shared" si="5"/>
        <v>0.06226542456403639</v>
      </c>
      <c r="E25" s="435">
        <f>E13</f>
        <v>22970045.68</v>
      </c>
      <c r="F25" s="442">
        <f aca="true" t="shared" si="9" ref="F25:F30">IF(C25=0,"-",(E25/C25)-1)</f>
        <v>0.05221123616152301</v>
      </c>
      <c r="G25" s="445">
        <f>'Metas Cons'!C13</f>
        <v>22988238.964984637</v>
      </c>
      <c r="H25" s="442">
        <f t="shared" si="6"/>
        <v>0.0007920439183313199</v>
      </c>
      <c r="I25" s="445">
        <f>'Metas Cons'!G13</f>
        <v>23995751.176444493</v>
      </c>
      <c r="J25" s="442">
        <f t="shared" si="7"/>
        <v>0.04382728981521744</v>
      </c>
      <c r="K25" s="445">
        <f>'Metas Cons'!K13</f>
        <v>25160342.436630636</v>
      </c>
      <c r="L25" s="442">
        <f t="shared" si="8"/>
        <v>0.048533227887834096</v>
      </c>
    </row>
    <row r="26" spans="1:12" ht="12.75">
      <c r="A26" s="393" t="s">
        <v>122</v>
      </c>
      <c r="B26" s="443">
        <f>B14*((1+Parâmetros!C11)*(1+Parâmetros!D11))</f>
        <v>19137522.630014997</v>
      </c>
      <c r="C26" s="435">
        <f>C14*(1+Parâmetros!D11)</f>
        <v>21483594.36</v>
      </c>
      <c r="D26" s="442">
        <f t="shared" si="5"/>
        <v>0.12259014791734124</v>
      </c>
      <c r="E26" s="435">
        <f>E14</f>
        <v>22375515.5</v>
      </c>
      <c r="F26" s="442">
        <f t="shared" si="9"/>
        <v>0.04151638338790531</v>
      </c>
      <c r="G26" s="445">
        <f>'Metas Cons'!C14</f>
        <v>22448972.869242962</v>
      </c>
      <c r="H26" s="442">
        <f t="shared" si="6"/>
        <v>0.0032829352799921274</v>
      </c>
      <c r="I26" s="445">
        <f>'Metas Cons'!G14</f>
        <v>23456485.080702823</v>
      </c>
      <c r="J26" s="442">
        <f t="shared" si="7"/>
        <v>0.044880102859415905</v>
      </c>
      <c r="K26" s="445">
        <f>'Metas Cons'!K14</f>
        <v>24621076.340888962</v>
      </c>
      <c r="L26" s="442">
        <f t="shared" si="8"/>
        <v>0.04964900990831844</v>
      </c>
    </row>
    <row r="27" spans="1:12" ht="12.75">
      <c r="A27" s="393" t="s">
        <v>82</v>
      </c>
      <c r="B27" s="443">
        <f>B24-B26</f>
        <v>1291730.7456360012</v>
      </c>
      <c r="C27" s="445">
        <f>C24-C26</f>
        <v>220198.3200000003</v>
      </c>
      <c r="D27" s="442">
        <f t="shared" si="5"/>
        <v>-0.8295323381099963</v>
      </c>
      <c r="E27" s="445">
        <f>E24-E26</f>
        <v>520639.26000000164</v>
      </c>
      <c r="F27" s="442">
        <f t="shared" si="9"/>
        <v>1.3644106821523478</v>
      </c>
      <c r="G27" s="445">
        <f>'Metas Cons'!C15</f>
        <v>582208.2051521417</v>
      </c>
      <c r="H27" s="442">
        <f t="shared" si="6"/>
        <v>0.11825643950120068</v>
      </c>
      <c r="I27" s="445">
        <f>'Metas Cons'!G15</f>
        <v>372673.5348388147</v>
      </c>
      <c r="J27" s="442">
        <f t="shared" si="7"/>
        <v>-0.3598964570734138</v>
      </c>
      <c r="K27" s="445">
        <f>'Metas Cons'!K15</f>
        <v>108544.89984306712</v>
      </c>
      <c r="L27" s="442">
        <f t="shared" si="8"/>
        <v>-0.7087399836695838</v>
      </c>
    </row>
    <row r="28" spans="1:12" ht="12.75">
      <c r="A28" s="393" t="s">
        <v>83</v>
      </c>
      <c r="B28" s="443">
        <f>B16*((1+Parâmetros!C11)*(1+Parâmetros!D11))</f>
        <v>-1803672.9512999998</v>
      </c>
      <c r="C28" s="435">
        <f>C16*(1+Parâmetros!D11)</f>
        <v>-740750.56605</v>
      </c>
      <c r="D28" s="442">
        <f t="shared" si="5"/>
        <v>-0.5893099325373244</v>
      </c>
      <c r="E28" s="435">
        <f>E16</f>
        <v>520639.25</v>
      </c>
      <c r="F28" s="442">
        <f t="shared" si="9"/>
        <v>-1.702853664731263</v>
      </c>
      <c r="G28" s="445">
        <f>'Metas Cons'!C16</f>
        <v>582208.2051521417</v>
      </c>
      <c r="H28" s="442">
        <f t="shared" si="6"/>
        <v>0.11825646097973164</v>
      </c>
      <c r="I28" s="445">
        <f>'Metas Cons'!G16</f>
        <v>372673.5348388147</v>
      </c>
      <c r="J28" s="442">
        <f t="shared" si="7"/>
        <v>-0.3598964570734138</v>
      </c>
      <c r="K28" s="445">
        <f>'Metas Cons'!K16</f>
        <v>108544.89984306712</v>
      </c>
      <c r="L28" s="442">
        <f t="shared" si="8"/>
        <v>-0.7087399836695838</v>
      </c>
    </row>
    <row r="29" spans="1:12" ht="12.75">
      <c r="A29" s="393" t="s">
        <v>84</v>
      </c>
      <c r="B29" s="443">
        <f>B17*((1+Parâmetros!C11)*(1+Parâmetros!D11))</f>
        <v>1098727.1437859999</v>
      </c>
      <c r="C29" s="435">
        <f>C17*(1+Parâmetros!D11)</f>
        <v>762254.1503999999</v>
      </c>
      <c r="D29" s="442">
        <f t="shared" si="5"/>
        <v>-0.3062389013404907</v>
      </c>
      <c r="E29" s="435">
        <f>E17</f>
        <v>489638.68</v>
      </c>
      <c r="F29" s="442">
        <f t="shared" si="9"/>
        <v>-0.35764379932459855</v>
      </c>
      <c r="G29" s="445">
        <f>'Metas Cons'!C17</f>
        <v>695546.891025641</v>
      </c>
      <c r="H29" s="442">
        <f t="shared" si="6"/>
        <v>0.4205309331886138</v>
      </c>
      <c r="I29" s="445">
        <f>'Metas Cons'!G17</f>
        <v>570980.6726660092</v>
      </c>
      <c r="J29" s="442">
        <f t="shared" si="7"/>
        <v>-0.17909104327380243</v>
      </c>
      <c r="K29" s="445">
        <f>'Metas Cons'!K17</f>
        <v>541938.5987571165</v>
      </c>
      <c r="L29" s="442">
        <f t="shared" si="8"/>
        <v>-0.05086349731119644</v>
      </c>
    </row>
    <row r="30" spans="1:12" ht="12.75">
      <c r="A30" s="394" t="s">
        <v>78</v>
      </c>
      <c r="B30" s="443">
        <f>B18*((1+Parâmetros!C11)*(1+Parâmetros!D11))</f>
        <v>-121303.68829200005</v>
      </c>
      <c r="C30" s="435">
        <f>C18*(1+Parâmetros!D11)</f>
        <v>-740750.56605</v>
      </c>
      <c r="D30" s="442">
        <f t="shared" si="5"/>
        <v>5.106579086588684</v>
      </c>
      <c r="E30" s="435">
        <f>E18</f>
        <v>-484350.5600000001</v>
      </c>
      <c r="F30" s="442">
        <f t="shared" si="9"/>
        <v>-0.34613541696935146</v>
      </c>
      <c r="G30" s="446">
        <f>'Metas Cons'!C18</f>
        <v>-293613.7756410256</v>
      </c>
      <c r="H30" s="442">
        <f t="shared" si="6"/>
        <v>-0.3937990375379652</v>
      </c>
      <c r="I30" s="443">
        <f>IF('Metas Cons'!G18=0,"0",('Metas Cons'!G18))</f>
        <v>-341016.317389875</v>
      </c>
      <c r="J30" s="442">
        <f t="shared" si="7"/>
        <v>0.16144522390122495</v>
      </c>
      <c r="K30" s="443">
        <f>IF('Metas Cons'!K18=0,"0",('Metas Cons'!K18))</f>
        <v>-342986.4153163219</v>
      </c>
      <c r="L30" s="442">
        <f t="shared" si="8"/>
        <v>0.005777136828894136</v>
      </c>
    </row>
    <row r="31" spans="1:12" ht="12.75">
      <c r="A31" s="541" t="s">
        <v>217</v>
      </c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</row>
  </sheetData>
  <sheetProtection/>
  <mergeCells count="35">
    <mergeCell ref="B20:L20"/>
    <mergeCell ref="E21:E22"/>
    <mergeCell ref="F9:F10"/>
    <mergeCell ref="G9:G10"/>
    <mergeCell ref="H9:H10"/>
    <mergeCell ref="D9:D10"/>
    <mergeCell ref="I9:I10"/>
    <mergeCell ref="A1:L1"/>
    <mergeCell ref="A2:L2"/>
    <mergeCell ref="A3:L3"/>
    <mergeCell ref="A4:L4"/>
    <mergeCell ref="B8:L8"/>
    <mergeCell ref="L21:L22"/>
    <mergeCell ref="G21:G22"/>
    <mergeCell ref="H21:H22"/>
    <mergeCell ref="A21:A22"/>
    <mergeCell ref="B21:B22"/>
    <mergeCell ref="A31:L31"/>
    <mergeCell ref="F21:F22"/>
    <mergeCell ref="I21:I22"/>
    <mergeCell ref="J21:J22"/>
    <mergeCell ref="K21:K22"/>
    <mergeCell ref="A7:B7"/>
    <mergeCell ref="E9:E10"/>
    <mergeCell ref="C21:C22"/>
    <mergeCell ref="D21:D22"/>
    <mergeCell ref="A19:L19"/>
    <mergeCell ref="A5:L5"/>
    <mergeCell ref="J9:J10"/>
    <mergeCell ref="K9:K10"/>
    <mergeCell ref="L9:L10"/>
    <mergeCell ref="A6:L6"/>
    <mergeCell ref="A9:A10"/>
    <mergeCell ref="B9:B10"/>
    <mergeCell ref="C9:C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4"/>
  <dimension ref="A1:G27"/>
  <sheetViews>
    <sheetView zoomScaleSheetLayoutView="90" zoomScalePageLayoutView="0" workbookViewId="0" topLeftCell="A29">
      <selection activeCell="A1" sqref="A1:G39"/>
    </sheetView>
  </sheetViews>
  <sheetFormatPr defaultColWidth="9.140625" defaultRowHeight="12.75"/>
  <cols>
    <col min="1" max="1" width="22.00390625" style="11" customWidth="1"/>
    <col min="2" max="2" width="17.57421875" style="11" customWidth="1"/>
    <col min="3" max="3" width="10.140625" style="11" customWidth="1"/>
    <col min="4" max="4" width="17.7109375" style="11" customWidth="1"/>
    <col min="5" max="5" width="10.421875" style="11" customWidth="1"/>
    <col min="6" max="6" width="18.00390625" style="11" customWidth="1"/>
    <col min="7" max="7" width="10.7109375" style="11" customWidth="1"/>
    <col min="8" max="16384" width="9.140625" style="11" customWidth="1"/>
  </cols>
  <sheetData>
    <row r="1" spans="1:7" ht="15.75">
      <c r="A1" s="617" t="str">
        <f>Parâmetros!A7</f>
        <v>Município de : BARRA DO QUARAI</v>
      </c>
      <c r="B1" s="611"/>
      <c r="C1" s="611"/>
      <c r="D1" s="611"/>
      <c r="E1" s="611"/>
      <c r="F1" s="611"/>
      <c r="G1" s="612"/>
    </row>
    <row r="2" spans="1:7" ht="15.75">
      <c r="A2" s="610" t="s">
        <v>36</v>
      </c>
      <c r="B2" s="611"/>
      <c r="C2" s="611"/>
      <c r="D2" s="611"/>
      <c r="E2" s="611"/>
      <c r="F2" s="611"/>
      <c r="G2" s="612"/>
    </row>
    <row r="3" spans="1:7" ht="15.75">
      <c r="A3" s="610" t="str">
        <f>'Metas Cons'!A3:M3</f>
        <v>ANEXO DE METAS FISCAIS</v>
      </c>
      <c r="B3" s="611"/>
      <c r="C3" s="611"/>
      <c r="D3" s="611"/>
      <c r="E3" s="611"/>
      <c r="F3" s="611"/>
      <c r="G3" s="612"/>
    </row>
    <row r="4" spans="1:7" ht="15.75">
      <c r="A4" s="607" t="s">
        <v>503</v>
      </c>
      <c r="B4" s="608"/>
      <c r="C4" s="608"/>
      <c r="D4" s="608"/>
      <c r="E4" s="608"/>
      <c r="F4" s="608"/>
      <c r="G4" s="609"/>
    </row>
    <row r="5" spans="1:7" ht="15.75">
      <c r="A5" s="610" t="s">
        <v>666</v>
      </c>
      <c r="B5" s="611"/>
      <c r="C5" s="611"/>
      <c r="D5" s="611"/>
      <c r="E5" s="611"/>
      <c r="F5" s="611"/>
      <c r="G5" s="612"/>
    </row>
    <row r="6" spans="1:7" ht="15.75">
      <c r="A6" s="610"/>
      <c r="B6" s="611"/>
      <c r="C6" s="611"/>
      <c r="D6" s="611"/>
      <c r="E6" s="611"/>
      <c r="F6" s="611"/>
      <c r="G6" s="612"/>
    </row>
    <row r="7" spans="1:7" ht="15.75">
      <c r="A7" s="619" t="s">
        <v>510</v>
      </c>
      <c r="B7" s="620"/>
      <c r="C7" s="395"/>
      <c r="D7" s="395"/>
      <c r="E7" s="395"/>
      <c r="F7" s="395"/>
      <c r="G7" s="398">
        <v>1</v>
      </c>
    </row>
    <row r="8" spans="1:7" s="12" customFormat="1" ht="25.5" customHeight="1">
      <c r="A8" s="399" t="s">
        <v>86</v>
      </c>
      <c r="B8" s="399">
        <v>2019</v>
      </c>
      <c r="C8" s="399" t="s">
        <v>13</v>
      </c>
      <c r="D8" s="399">
        <f>B8-1</f>
        <v>2018</v>
      </c>
      <c r="E8" s="399" t="s">
        <v>13</v>
      </c>
      <c r="F8" s="399">
        <v>2017</v>
      </c>
      <c r="G8" s="400" t="s">
        <v>13</v>
      </c>
    </row>
    <row r="9" spans="1:7" ht="15.75">
      <c r="A9" s="401" t="s">
        <v>87</v>
      </c>
      <c r="B9" s="447">
        <v>12044368.36</v>
      </c>
      <c r="C9" s="448">
        <f>IF(B12=0,"-",(B9/B12))</f>
        <v>0.44567402688921975</v>
      </c>
      <c r="D9" s="447">
        <v>12384256.37</v>
      </c>
      <c r="E9" s="448">
        <f>IF(D12=0,"-",(D9/D12))</f>
        <v>0.5088798672423026</v>
      </c>
      <c r="F9" s="447">
        <v>0</v>
      </c>
      <c r="G9" s="448">
        <f>IF(F12=0,"-",(F9/F12))</f>
        <v>0</v>
      </c>
    </row>
    <row r="10" spans="1:7" ht="15.75">
      <c r="A10" s="401" t="s">
        <v>41</v>
      </c>
      <c r="B10" s="453">
        <v>4511293.98</v>
      </c>
      <c r="C10" s="448">
        <f>IF(B12=0,"-",(B10/B12))</f>
        <v>0.16693001197347102</v>
      </c>
      <c r="D10" s="453">
        <v>4511293.98</v>
      </c>
      <c r="E10" s="448">
        <f>IF(D12=0,"-",(D10/D12))</f>
        <v>0.1853729939889317</v>
      </c>
      <c r="F10" s="396">
        <v>4511293.98</v>
      </c>
      <c r="G10" s="448">
        <f>IF(F12=0,"-",(F10/F12))</f>
        <v>0.3642765334645604</v>
      </c>
    </row>
    <row r="11" spans="1:7" ht="15.75">
      <c r="A11" s="402" t="s">
        <v>88</v>
      </c>
      <c r="B11" s="397">
        <v>10469400</v>
      </c>
      <c r="C11" s="451">
        <f>IF(B12=0,"-",(B11/B12))</f>
        <v>0.3873959611373093</v>
      </c>
      <c r="D11" s="397">
        <v>7440756.05</v>
      </c>
      <c r="E11" s="451">
        <f>IF(D12=0,"-",(D11/D12))</f>
        <v>0.30574713876876564</v>
      </c>
      <c r="F11" s="397">
        <v>7872962.39</v>
      </c>
      <c r="G11" s="451">
        <f>IF(F12=0,"-",(F11/F12))</f>
        <v>0.6357234665354395</v>
      </c>
    </row>
    <row r="12" spans="1:7" ht="15.75">
      <c r="A12" s="403" t="s">
        <v>89</v>
      </c>
      <c r="B12" s="452">
        <f>SUM(B9:B11)</f>
        <v>27025062.34</v>
      </c>
      <c r="C12" s="451">
        <f>IF(B12=0,"-",(B12/B12))</f>
        <v>1</v>
      </c>
      <c r="D12" s="452">
        <f>SUM(D9:D11)</f>
        <v>24336306.400000002</v>
      </c>
      <c r="E12" s="451">
        <f>IF(D12=0,"-",(D12/D12))</f>
        <v>1</v>
      </c>
      <c r="F12" s="452">
        <f>SUM(F9:F11)</f>
        <v>12384256.370000001</v>
      </c>
      <c r="G12" s="451">
        <f>IF(F12=0,"-",(F12/F12))</f>
        <v>1</v>
      </c>
    </row>
    <row r="13" spans="1:7" ht="15.75">
      <c r="A13" s="618"/>
      <c r="B13" s="618"/>
      <c r="C13" s="618"/>
      <c r="D13" s="618"/>
      <c r="E13" s="618"/>
      <c r="F13" s="618"/>
      <c r="G13" s="618"/>
    </row>
    <row r="14" spans="1:7" ht="15.75" customHeight="1">
      <c r="A14" s="615" t="s">
        <v>90</v>
      </c>
      <c r="B14" s="615"/>
      <c r="C14" s="615"/>
      <c r="D14" s="615"/>
      <c r="E14" s="615"/>
      <c r="F14" s="615"/>
      <c r="G14" s="615"/>
    </row>
    <row r="15" spans="1:7" s="12" customFormat="1" ht="25.5" customHeight="1">
      <c r="A15" s="399" t="s">
        <v>86</v>
      </c>
      <c r="B15" s="399">
        <v>2019</v>
      </c>
      <c r="C15" s="399" t="s">
        <v>13</v>
      </c>
      <c r="D15" s="399">
        <v>2018</v>
      </c>
      <c r="E15" s="399" t="s">
        <v>13</v>
      </c>
      <c r="F15" s="399">
        <f>D15-1</f>
        <v>2017</v>
      </c>
      <c r="G15" s="400" t="s">
        <v>13</v>
      </c>
    </row>
    <row r="16" spans="1:7" ht="15.75">
      <c r="A16" s="401" t="s">
        <v>87</v>
      </c>
      <c r="B16" s="447">
        <f>D19</f>
        <v>0</v>
      </c>
      <c r="C16" s="448" t="str">
        <f>IF(B19=0,"-",(B16/B19))</f>
        <v>-</v>
      </c>
      <c r="D16" s="447">
        <f>F19</f>
        <v>0</v>
      </c>
      <c r="E16" s="448" t="str">
        <f>IF(D19=0,"-",(D16/D19))</f>
        <v>-</v>
      </c>
      <c r="F16" s="447">
        <v>0</v>
      </c>
      <c r="G16" s="448" t="str">
        <f>IF(F19=0,"-",(F16/F19))</f>
        <v>-</v>
      </c>
    </row>
    <row r="17" spans="1:7" ht="15.75">
      <c r="A17" s="401" t="s">
        <v>41</v>
      </c>
      <c r="B17" s="396"/>
      <c r="C17" s="448" t="str">
        <f>IF(B19=0,"-",(B17/B19))</f>
        <v>-</v>
      </c>
      <c r="D17" s="396"/>
      <c r="E17" s="448" t="str">
        <f>IF(D19=0,"-",(D17/D19))</f>
        <v>-</v>
      </c>
      <c r="F17" s="396"/>
      <c r="G17" s="448" t="str">
        <f>IF(F19=0,"-",(F17/F19))</f>
        <v>-</v>
      </c>
    </row>
    <row r="18" spans="1:7" ht="31.5">
      <c r="A18" s="402" t="s">
        <v>617</v>
      </c>
      <c r="B18" s="397">
        <v>0</v>
      </c>
      <c r="C18" s="451" t="str">
        <f>IF(B19=0,"-",(B18/B19))</f>
        <v>-</v>
      </c>
      <c r="D18" s="397">
        <v>0</v>
      </c>
      <c r="E18" s="451" t="str">
        <f>IF(D19=0,"-",(D18/D19))</f>
        <v>-</v>
      </c>
      <c r="F18" s="397">
        <v>0</v>
      </c>
      <c r="G18" s="451" t="str">
        <f>IF(F19=0,"-",(F18/F19))</f>
        <v>-</v>
      </c>
    </row>
    <row r="19" spans="1:7" ht="15.75">
      <c r="A19" s="403" t="s">
        <v>89</v>
      </c>
      <c r="B19" s="452">
        <f>SUM(B16:B18)</f>
        <v>0</v>
      </c>
      <c r="C19" s="451" t="str">
        <f>IF(B19=0,"-",(B19/B19))</f>
        <v>-</v>
      </c>
      <c r="D19" s="452">
        <f>SUM(D16:D18)</f>
        <v>0</v>
      </c>
      <c r="E19" s="451" t="str">
        <f>IF(D19=0,"-",(D19/D19))</f>
        <v>-</v>
      </c>
      <c r="F19" s="452">
        <f>SUM(F16:F18)</f>
        <v>0</v>
      </c>
      <c r="G19" s="451" t="str">
        <f>IF(F19=0,"-",(F19/F19))</f>
        <v>-</v>
      </c>
    </row>
    <row r="20" spans="1:7" ht="15.75">
      <c r="A20" s="616"/>
      <c r="B20" s="616"/>
      <c r="C20" s="616"/>
      <c r="D20" s="616"/>
      <c r="E20" s="616"/>
      <c r="F20" s="616"/>
      <c r="G20" s="616"/>
    </row>
    <row r="21" spans="1:7" ht="15.75" customHeight="1">
      <c r="A21" s="615" t="s">
        <v>181</v>
      </c>
      <c r="B21" s="615"/>
      <c r="C21" s="615"/>
      <c r="D21" s="615"/>
      <c r="E21" s="615"/>
      <c r="F21" s="615"/>
      <c r="G21" s="615"/>
    </row>
    <row r="22" spans="1:7" s="12" customFormat="1" ht="25.5" customHeight="1">
      <c r="A22" s="399" t="s">
        <v>86</v>
      </c>
      <c r="B22" s="399">
        <v>2019</v>
      </c>
      <c r="C22" s="399" t="s">
        <v>13</v>
      </c>
      <c r="D22" s="399">
        <v>2018</v>
      </c>
      <c r="E22" s="399" t="s">
        <v>13</v>
      </c>
      <c r="F22" s="399">
        <v>2017</v>
      </c>
      <c r="G22" s="400" t="s">
        <v>13</v>
      </c>
    </row>
    <row r="23" spans="1:7" ht="15.75">
      <c r="A23" s="401" t="s">
        <v>87</v>
      </c>
      <c r="B23" s="447">
        <f>B9+B16</f>
        <v>12044368.36</v>
      </c>
      <c r="C23" s="448">
        <f>IF(B26=0,"-",(B23/B26))</f>
        <v>0.44567402688921975</v>
      </c>
      <c r="D23" s="447">
        <f>D9+D16</f>
        <v>12384256.37</v>
      </c>
      <c r="E23" s="448">
        <f>IF(D26=0,"-",(D23/D26))</f>
        <v>0.5088798672423026</v>
      </c>
      <c r="F23" s="447">
        <f>F9+F16</f>
        <v>0</v>
      </c>
      <c r="G23" s="448">
        <f>IF(F26=0,"-",(F23/F26))</f>
        <v>0</v>
      </c>
    </row>
    <row r="24" spans="1:7" ht="15.75">
      <c r="A24" s="401" t="s">
        <v>41</v>
      </c>
      <c r="B24" s="449">
        <f>B10+B17</f>
        <v>4511293.98</v>
      </c>
      <c r="C24" s="448">
        <f>IF(B26=0,"-",(B24/B26))</f>
        <v>0.16693001197347102</v>
      </c>
      <c r="D24" s="449">
        <f>D10+D17</f>
        <v>4511293.98</v>
      </c>
      <c r="E24" s="448">
        <f>IF(D26=0,"-",(D24/D26))</f>
        <v>0.1853729939889317</v>
      </c>
      <c r="F24" s="449">
        <f>F10+F17</f>
        <v>4511293.98</v>
      </c>
      <c r="G24" s="448">
        <f>IF(F26=0,"-",(F24/F26))</f>
        <v>0.3642765334645604</v>
      </c>
    </row>
    <row r="25" spans="1:7" ht="15.75">
      <c r="A25" s="402" t="s">
        <v>88</v>
      </c>
      <c r="B25" s="450">
        <f>B11+B18</f>
        <v>10469400</v>
      </c>
      <c r="C25" s="451">
        <f>IF(B26=0,"-",(B25/B26))</f>
        <v>0.3873959611373093</v>
      </c>
      <c r="D25" s="450">
        <f>D11+D18</f>
        <v>7440756.05</v>
      </c>
      <c r="E25" s="451">
        <f>IF(D26=0,"-",(D25/D26))</f>
        <v>0.30574713876876564</v>
      </c>
      <c r="F25" s="450">
        <f>F11+F18</f>
        <v>7872962.39</v>
      </c>
      <c r="G25" s="451">
        <f>IF(F26=0,"-",(F25/F26))</f>
        <v>0.6357234665354395</v>
      </c>
    </row>
    <row r="26" spans="1:7" ht="15.75">
      <c r="A26" s="403" t="s">
        <v>89</v>
      </c>
      <c r="B26" s="452">
        <f>SUM(B23:B25)</f>
        <v>27025062.34</v>
      </c>
      <c r="C26" s="451">
        <f>IF(B26=0,"-",(B26/B26))</f>
        <v>1</v>
      </c>
      <c r="D26" s="452">
        <f>SUM(D23:D25)</f>
        <v>24336306.400000002</v>
      </c>
      <c r="E26" s="451">
        <f>IF(D26=0,"-",(D26/D26))</f>
        <v>1</v>
      </c>
      <c r="F26" s="452">
        <f>SUM(F23:F25)</f>
        <v>12384256.370000001</v>
      </c>
      <c r="G26" s="451">
        <f>IF(F26=0,"-",(F26/F26))</f>
        <v>1</v>
      </c>
    </row>
    <row r="27" spans="1:7" ht="15.75">
      <c r="A27" s="613" t="s">
        <v>217</v>
      </c>
      <c r="B27" s="614"/>
      <c r="C27" s="614"/>
      <c r="D27" s="614"/>
      <c r="E27" s="614"/>
      <c r="F27" s="614"/>
      <c r="G27" s="614"/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0.787401575" right="0.787401575" top="0.984251969" bottom="0.984251969" header="0.492125985" footer="0.492125985"/>
  <pageSetup horizontalDpi="600" verticalDpi="6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5"/>
  <dimension ref="A1:F30"/>
  <sheetViews>
    <sheetView zoomScale="90" zoomScaleNormal="90" zoomScaleSheetLayoutView="90" zoomScalePageLayoutView="0" workbookViewId="0" topLeftCell="A6">
      <selection activeCell="A1" sqref="A1:D37"/>
    </sheetView>
  </sheetViews>
  <sheetFormatPr defaultColWidth="9.140625" defaultRowHeight="12.75"/>
  <cols>
    <col min="1" max="1" width="64.00390625" style="13" customWidth="1"/>
    <col min="2" max="3" width="14.7109375" style="13" customWidth="1"/>
    <col min="4" max="4" width="15.7109375" style="13" customWidth="1"/>
    <col min="5" max="16384" width="9.140625" style="13" customWidth="1"/>
  </cols>
  <sheetData>
    <row r="1" spans="1:4" ht="15.75">
      <c r="A1" s="617" t="str">
        <f>Parâmetros!A7</f>
        <v>Município de : BARRA DO QUARAI</v>
      </c>
      <c r="B1" s="611"/>
      <c r="C1" s="611"/>
      <c r="D1" s="612"/>
    </row>
    <row r="2" spans="1:4" ht="15.75">
      <c r="A2" s="610" t="s">
        <v>36</v>
      </c>
      <c r="B2" s="611"/>
      <c r="C2" s="611"/>
      <c r="D2" s="612"/>
    </row>
    <row r="3" spans="1:4" ht="15.75">
      <c r="A3" s="610" t="str">
        <f>'Metas Cons'!A3:M3</f>
        <v>ANEXO DE METAS FISCAIS</v>
      </c>
      <c r="B3" s="611"/>
      <c r="C3" s="611"/>
      <c r="D3" s="612"/>
    </row>
    <row r="4" spans="1:4" ht="15.75">
      <c r="A4" s="607" t="s">
        <v>504</v>
      </c>
      <c r="B4" s="608"/>
      <c r="C4" s="608"/>
      <c r="D4" s="609"/>
    </row>
    <row r="5" spans="1:4" ht="15.75">
      <c r="A5" s="610" t="s">
        <v>663</v>
      </c>
      <c r="B5" s="611"/>
      <c r="C5" s="611"/>
      <c r="D5" s="612"/>
    </row>
    <row r="6" spans="1:4" ht="15.75">
      <c r="A6" s="610"/>
      <c r="B6" s="611"/>
      <c r="C6" s="611"/>
      <c r="D6" s="612"/>
    </row>
    <row r="7" spans="1:4" ht="15.75">
      <c r="A7" s="404" t="s">
        <v>509</v>
      </c>
      <c r="B7" s="405"/>
      <c r="C7" s="405"/>
      <c r="D7" s="406">
        <v>1</v>
      </c>
    </row>
    <row r="8" spans="1:4" s="14" customFormat="1" ht="25.5" customHeight="1">
      <c r="A8" s="399" t="s">
        <v>91</v>
      </c>
      <c r="B8" s="399">
        <v>2019</v>
      </c>
      <c r="C8" s="399">
        <v>2018</v>
      </c>
      <c r="D8" s="413">
        <v>2017</v>
      </c>
    </row>
    <row r="9" spans="1:4" s="14" customFormat="1" ht="25.5" customHeight="1">
      <c r="A9" s="414" t="s">
        <v>643</v>
      </c>
      <c r="B9" s="454"/>
      <c r="C9" s="454">
        <v>0</v>
      </c>
      <c r="D9" s="407">
        <v>0</v>
      </c>
    </row>
    <row r="10" spans="1:4" ht="12.75" customHeight="1">
      <c r="A10" s="415" t="s">
        <v>618</v>
      </c>
      <c r="B10" s="455">
        <f>B11+B12</f>
        <v>20698.07</v>
      </c>
      <c r="C10" s="455">
        <f>C11+C12</f>
        <v>42497.56</v>
      </c>
      <c r="D10" s="455">
        <f>D11+D12</f>
        <v>33960.85</v>
      </c>
    </row>
    <row r="11" spans="1:4" ht="12.75" customHeight="1">
      <c r="A11" s="416" t="s">
        <v>92</v>
      </c>
      <c r="B11" s="456">
        <f>Projeções!E83</f>
        <v>0</v>
      </c>
      <c r="C11" s="456">
        <f>Projeções!D83</f>
        <v>0</v>
      </c>
      <c r="D11" s="456">
        <f>Projeções!C83</f>
        <v>0</v>
      </c>
    </row>
    <row r="12" spans="1:4" ht="12.75" customHeight="1">
      <c r="A12" s="417" t="s">
        <v>93</v>
      </c>
      <c r="B12" s="456">
        <f>Projeções!F84</f>
        <v>20698.07</v>
      </c>
      <c r="C12" s="456">
        <f>Projeções!E84</f>
        <v>42497.56</v>
      </c>
      <c r="D12" s="456">
        <f>Projeções!D84</f>
        <v>33960.85</v>
      </c>
    </row>
    <row r="13" spans="1:4" ht="12.75" customHeight="1">
      <c r="A13" s="417" t="s">
        <v>143</v>
      </c>
      <c r="B13" s="408">
        <v>0</v>
      </c>
      <c r="C13" s="408">
        <v>0</v>
      </c>
      <c r="D13" s="408">
        <v>0</v>
      </c>
    </row>
    <row r="14" spans="1:4" ht="15.75">
      <c r="A14" s="621"/>
      <c r="B14" s="621"/>
      <c r="C14" s="621"/>
      <c r="D14" s="621"/>
    </row>
    <row r="15" spans="1:4" s="14" customFormat="1" ht="14.25">
      <c r="A15" s="623" t="s">
        <v>163</v>
      </c>
      <c r="B15" s="625">
        <v>2019</v>
      </c>
      <c r="C15" s="625">
        <f>B15-1</f>
        <v>2018</v>
      </c>
      <c r="D15" s="627">
        <f>C15-1</f>
        <v>2017</v>
      </c>
    </row>
    <row r="16" spans="1:4" s="14" customFormat="1" ht="14.25">
      <c r="A16" s="624"/>
      <c r="B16" s="626"/>
      <c r="C16" s="626"/>
      <c r="D16" s="628"/>
    </row>
    <row r="17" spans="1:4" ht="15.75">
      <c r="A17" s="415" t="s">
        <v>619</v>
      </c>
      <c r="B17" s="457">
        <f>B18+B22</f>
        <v>1170598.34</v>
      </c>
      <c r="C17" s="457">
        <f>C18+C22</f>
        <v>726190.77</v>
      </c>
      <c r="D17" s="457">
        <f>D18+D22</f>
        <v>524391.26</v>
      </c>
    </row>
    <row r="18" spans="1:4" ht="15.75">
      <c r="A18" s="416" t="s">
        <v>94</v>
      </c>
      <c r="B18" s="458">
        <f>B19+B20+B21</f>
        <v>1170598.34</v>
      </c>
      <c r="C18" s="458">
        <f>C19+C20+C21</f>
        <v>726190.77</v>
      </c>
      <c r="D18" s="459">
        <f>D19+D20+D21</f>
        <v>524391.26</v>
      </c>
    </row>
    <row r="19" spans="1:4" ht="15.75">
      <c r="A19" s="416" t="s">
        <v>95</v>
      </c>
      <c r="B19" s="409">
        <v>350598.34</v>
      </c>
      <c r="C19" s="409">
        <v>244091.73</v>
      </c>
      <c r="D19" s="410">
        <v>285101.4</v>
      </c>
    </row>
    <row r="20" spans="1:4" ht="15.75">
      <c r="A20" s="416" t="s">
        <v>96</v>
      </c>
      <c r="B20" s="409">
        <v>0</v>
      </c>
      <c r="C20" s="409">
        <v>0</v>
      </c>
      <c r="D20" s="410">
        <v>0</v>
      </c>
    </row>
    <row r="21" spans="1:4" ht="15.75">
      <c r="A21" s="416" t="s">
        <v>97</v>
      </c>
      <c r="B21" s="409">
        <v>820000</v>
      </c>
      <c r="C21" s="409">
        <v>482099.04</v>
      </c>
      <c r="D21" s="410">
        <v>239289.86</v>
      </c>
    </row>
    <row r="22" spans="1:4" ht="15.75">
      <c r="A22" s="416" t="s">
        <v>98</v>
      </c>
      <c r="B22" s="458">
        <f>B23+B24</f>
        <v>0</v>
      </c>
      <c r="C22" s="458">
        <f>C23+C24</f>
        <v>0</v>
      </c>
      <c r="D22" s="459">
        <f>D23+D24</f>
        <v>0</v>
      </c>
    </row>
    <row r="23" spans="1:4" ht="15.75">
      <c r="A23" s="416" t="s">
        <v>99</v>
      </c>
      <c r="B23" s="409">
        <v>0</v>
      </c>
      <c r="C23" s="409">
        <v>0</v>
      </c>
      <c r="D23" s="410">
        <v>0</v>
      </c>
    </row>
    <row r="24" spans="1:4" ht="15.75">
      <c r="A24" s="417" t="s">
        <v>100</v>
      </c>
      <c r="B24" s="411">
        <v>0</v>
      </c>
      <c r="C24" s="411">
        <v>0</v>
      </c>
      <c r="D24" s="412">
        <v>0</v>
      </c>
    </row>
    <row r="25" spans="1:4" ht="15.75">
      <c r="A25" s="418" t="s">
        <v>101</v>
      </c>
      <c r="B25" s="460"/>
      <c r="C25" s="460"/>
      <c r="D25" s="461"/>
    </row>
    <row r="26" spans="1:4" ht="15.75">
      <c r="A26" s="419" t="s">
        <v>620</v>
      </c>
      <c r="B26" s="462">
        <f>C26+B10+B13-B17</f>
        <v>-2324023.89</v>
      </c>
      <c r="C26" s="462">
        <f>D26+C10+C13-C17</f>
        <v>-1174123.62</v>
      </c>
      <c r="D26" s="462">
        <f>D9+D10+D13-D17</f>
        <v>-490430.41000000003</v>
      </c>
    </row>
    <row r="27" spans="1:4" ht="15.75">
      <c r="A27" s="622" t="s">
        <v>217</v>
      </c>
      <c r="B27" s="622"/>
      <c r="C27" s="622"/>
      <c r="D27" s="622"/>
    </row>
    <row r="30" ht="14.25">
      <c r="F30" s="13" t="s">
        <v>641</v>
      </c>
    </row>
  </sheetData>
  <sheetProtection/>
  <mergeCells count="12">
    <mergeCell ref="A14:D14"/>
    <mergeCell ref="A27:D27"/>
    <mergeCell ref="A15:A16"/>
    <mergeCell ref="B15:B16"/>
    <mergeCell ref="C15:C16"/>
    <mergeCell ref="D15:D16"/>
    <mergeCell ref="A5:D5"/>
    <mergeCell ref="A6:D6"/>
    <mergeCell ref="A1:D1"/>
    <mergeCell ref="A2:D2"/>
    <mergeCell ref="A3:D3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9"/>
  <sheetViews>
    <sheetView zoomScalePageLayoutView="0" workbookViewId="0" topLeftCell="A153">
      <selection activeCell="A1" sqref="A1:I173"/>
    </sheetView>
  </sheetViews>
  <sheetFormatPr defaultColWidth="9.140625" defaultRowHeight="11.25" customHeight="1"/>
  <cols>
    <col min="1" max="1" width="59.28125" style="54" customWidth="1"/>
    <col min="2" max="2" width="13.8515625" style="54" customWidth="1"/>
    <col min="3" max="3" width="7.140625" style="54" customWidth="1"/>
    <col min="4" max="4" width="18.57421875" style="54" hidden="1" customWidth="1"/>
    <col min="5" max="5" width="12.8515625" style="54" hidden="1" customWidth="1"/>
    <col min="6" max="6" width="12.8515625" style="54" customWidth="1"/>
    <col min="7" max="7" width="7.140625" style="54" customWidth="1"/>
    <col min="8" max="8" width="12.8515625" style="54" customWidth="1"/>
    <col min="9" max="9" width="6.28125" style="54" customWidth="1"/>
    <col min="10" max="16384" width="9.140625" style="54" customWidth="1"/>
  </cols>
  <sheetData>
    <row r="1" spans="1:9" ht="11.25" customHeight="1">
      <c r="A1" s="631" t="str">
        <f>Parâmetros!A7</f>
        <v>Município de : BARRA DO QUARAI</v>
      </c>
      <c r="B1" s="631"/>
      <c r="C1" s="631"/>
      <c r="D1" s="631"/>
      <c r="E1" s="631"/>
      <c r="F1" s="631"/>
      <c r="G1" s="631"/>
      <c r="H1" s="631"/>
      <c r="I1" s="631"/>
    </row>
    <row r="2" spans="1:9" s="42" customFormat="1" ht="11.25" customHeight="1">
      <c r="A2" s="632" t="s">
        <v>36</v>
      </c>
      <c r="B2" s="632"/>
      <c r="C2" s="632"/>
      <c r="D2" s="632"/>
      <c r="E2" s="632"/>
      <c r="F2" s="632"/>
      <c r="G2" s="632"/>
      <c r="H2" s="632"/>
      <c r="I2" s="632"/>
    </row>
    <row r="3" spans="1:9" ht="11.25" customHeight="1">
      <c r="A3" s="633" t="s">
        <v>155</v>
      </c>
      <c r="B3" s="633"/>
      <c r="C3" s="633"/>
      <c r="D3" s="633"/>
      <c r="E3" s="633"/>
      <c r="F3" s="633"/>
      <c r="G3" s="633"/>
      <c r="H3" s="633"/>
      <c r="I3" s="633"/>
    </row>
    <row r="4" spans="1:9" ht="11.25" customHeight="1">
      <c r="A4" s="634" t="s">
        <v>487</v>
      </c>
      <c r="B4" s="634"/>
      <c r="C4" s="634"/>
      <c r="D4" s="634"/>
      <c r="E4" s="634"/>
      <c r="F4" s="634"/>
      <c r="G4" s="634"/>
      <c r="H4" s="634"/>
      <c r="I4" s="634"/>
    </row>
    <row r="5" spans="1:9" s="42" customFormat="1" ht="11.25" customHeight="1">
      <c r="A5" s="633" t="s">
        <v>662</v>
      </c>
      <c r="B5" s="633"/>
      <c r="C5" s="633"/>
      <c r="D5" s="633"/>
      <c r="E5" s="633"/>
      <c r="F5" s="633"/>
      <c r="G5" s="633"/>
      <c r="H5" s="633"/>
      <c r="I5" s="633"/>
    </row>
    <row r="6" spans="1:7" s="42" customFormat="1" ht="11.25" customHeight="1">
      <c r="A6" s="667"/>
      <c r="B6" s="667"/>
      <c r="C6" s="667"/>
      <c r="D6" s="667"/>
      <c r="E6" s="667"/>
      <c r="F6" s="667"/>
      <c r="G6" s="668"/>
    </row>
    <row r="7" spans="1:9" s="43" customFormat="1" ht="11.25" customHeight="1" thickBot="1">
      <c r="A7" s="659" t="s">
        <v>420</v>
      </c>
      <c r="B7" s="659"/>
      <c r="C7" s="659"/>
      <c r="D7" s="659"/>
      <c r="E7" s="659"/>
      <c r="F7" s="659"/>
      <c r="G7" s="659"/>
      <c r="H7" s="657">
        <v>1</v>
      </c>
      <c r="I7" s="657"/>
    </row>
    <row r="8" spans="1:9" s="43" customFormat="1" ht="11.25" customHeight="1" thickBot="1">
      <c r="A8" s="658" t="s">
        <v>421</v>
      </c>
      <c r="B8" s="658"/>
      <c r="C8" s="658"/>
      <c r="D8" s="658"/>
      <c r="E8" s="658"/>
      <c r="F8" s="658"/>
      <c r="G8" s="658"/>
      <c r="H8" s="658"/>
      <c r="I8" s="658"/>
    </row>
    <row r="9" spans="1:9" s="42" customFormat="1" ht="11.25" customHeight="1">
      <c r="A9" s="655" t="s">
        <v>422</v>
      </c>
      <c r="B9" s="656"/>
      <c r="C9" s="656"/>
      <c r="D9" s="656"/>
      <c r="E9" s="656"/>
      <c r="F9" s="656"/>
      <c r="G9" s="656"/>
      <c r="H9" s="656"/>
      <c r="I9" s="656"/>
    </row>
    <row r="10" spans="1:9" s="42" customFormat="1" ht="11.25" customHeight="1">
      <c r="A10" s="185"/>
      <c r="B10" s="642">
        <v>2019</v>
      </c>
      <c r="C10" s="644"/>
      <c r="D10" s="644"/>
      <c r="E10" s="643"/>
      <c r="F10" s="635">
        <v>2018</v>
      </c>
      <c r="G10" s="636"/>
      <c r="H10" s="635">
        <v>2017</v>
      </c>
      <c r="I10" s="636"/>
    </row>
    <row r="11" spans="1:9" s="42" customFormat="1" ht="11.25" customHeight="1">
      <c r="A11" s="124" t="s">
        <v>424</v>
      </c>
      <c r="B11" s="639"/>
      <c r="C11" s="639"/>
      <c r="D11" s="153"/>
      <c r="E11" s="154"/>
      <c r="F11" s="639"/>
      <c r="G11" s="639"/>
      <c r="H11" s="639"/>
      <c r="I11" s="639"/>
    </row>
    <row r="12" spans="1:9" s="42" customFormat="1" ht="11.25" customHeight="1">
      <c r="A12" s="125" t="s">
        <v>425</v>
      </c>
      <c r="B12" s="639"/>
      <c r="C12" s="639"/>
      <c r="D12" s="155"/>
      <c r="E12" s="155"/>
      <c r="F12" s="639"/>
      <c r="G12" s="639"/>
      <c r="H12" s="639"/>
      <c r="I12" s="639"/>
    </row>
    <row r="13" spans="1:9" s="42" customFormat="1" ht="11.25" customHeight="1">
      <c r="A13" s="128" t="s">
        <v>426</v>
      </c>
      <c r="B13" s="639"/>
      <c r="C13" s="639"/>
      <c r="D13" s="155"/>
      <c r="E13" s="155"/>
      <c r="F13" s="639"/>
      <c r="G13" s="639"/>
      <c r="H13" s="639"/>
      <c r="I13" s="639"/>
    </row>
    <row r="14" spans="1:9" s="42" customFormat="1" ht="11.25" customHeight="1">
      <c r="A14" s="130" t="s">
        <v>427</v>
      </c>
      <c r="B14" s="639"/>
      <c r="C14" s="639"/>
      <c r="D14" s="155"/>
      <c r="E14" s="155"/>
      <c r="F14" s="639"/>
      <c r="G14" s="639"/>
      <c r="H14" s="639"/>
      <c r="I14" s="639"/>
    </row>
    <row r="15" spans="1:9" s="42" customFormat="1" ht="11.25" customHeight="1">
      <c r="A15" s="130" t="s">
        <v>428</v>
      </c>
      <c r="B15" s="639"/>
      <c r="C15" s="639"/>
      <c r="D15" s="155"/>
      <c r="E15" s="155"/>
      <c r="F15" s="639"/>
      <c r="G15" s="639"/>
      <c r="H15" s="639"/>
      <c r="I15" s="639"/>
    </row>
    <row r="16" spans="1:9" s="42" customFormat="1" ht="11.25" customHeight="1">
      <c r="A16" s="130" t="s">
        <v>429</v>
      </c>
      <c r="B16" s="639"/>
      <c r="C16" s="639"/>
      <c r="D16" s="155"/>
      <c r="E16" s="155"/>
      <c r="F16" s="639"/>
      <c r="G16" s="639"/>
      <c r="H16" s="639"/>
      <c r="I16" s="639"/>
    </row>
    <row r="17" spans="1:9" s="42" customFormat="1" ht="11.25" customHeight="1">
      <c r="A17" s="128" t="s">
        <v>430</v>
      </c>
      <c r="B17" s="639"/>
      <c r="C17" s="639"/>
      <c r="D17" s="155"/>
      <c r="E17" s="155"/>
      <c r="F17" s="639"/>
      <c r="G17" s="639"/>
      <c r="H17" s="639"/>
      <c r="I17" s="639"/>
    </row>
    <row r="18" spans="1:9" s="42" customFormat="1" ht="11.25" customHeight="1">
      <c r="A18" s="130" t="s">
        <v>427</v>
      </c>
      <c r="B18" s="639"/>
      <c r="C18" s="639"/>
      <c r="D18" s="155"/>
      <c r="E18" s="155"/>
      <c r="F18" s="639"/>
      <c r="G18" s="639"/>
      <c r="H18" s="639"/>
      <c r="I18" s="639"/>
    </row>
    <row r="19" spans="1:9" s="42" customFormat="1" ht="11.25" customHeight="1">
      <c r="A19" s="130" t="s">
        <v>428</v>
      </c>
      <c r="B19" s="639"/>
      <c r="C19" s="639"/>
      <c r="D19" s="155"/>
      <c r="E19" s="155"/>
      <c r="F19" s="639"/>
      <c r="G19" s="639"/>
      <c r="H19" s="639"/>
      <c r="I19" s="639"/>
    </row>
    <row r="20" spans="1:9" s="42" customFormat="1" ht="11.25" customHeight="1">
      <c r="A20" s="130" t="s">
        <v>429</v>
      </c>
      <c r="B20" s="639"/>
      <c r="C20" s="639"/>
      <c r="D20" s="155"/>
      <c r="E20" s="155"/>
      <c r="F20" s="639"/>
      <c r="G20" s="639"/>
      <c r="H20" s="639"/>
      <c r="I20" s="639"/>
    </row>
    <row r="21" spans="1:9" s="42" customFormat="1" ht="11.25" customHeight="1">
      <c r="A21" s="44" t="s">
        <v>431</v>
      </c>
      <c r="B21" s="639"/>
      <c r="C21" s="639"/>
      <c r="D21" s="155"/>
      <c r="E21" s="155"/>
      <c r="F21" s="639"/>
      <c r="G21" s="639"/>
      <c r="H21" s="639"/>
      <c r="I21" s="639"/>
    </row>
    <row r="22" spans="1:9" s="42" customFormat="1" ht="11.25" customHeight="1">
      <c r="A22" s="128" t="s">
        <v>426</v>
      </c>
      <c r="B22" s="639"/>
      <c r="C22" s="639"/>
      <c r="D22" s="155"/>
      <c r="E22" s="155"/>
      <c r="F22" s="639"/>
      <c r="G22" s="639"/>
      <c r="H22" s="639"/>
      <c r="I22" s="639"/>
    </row>
    <row r="23" spans="1:9" s="42" customFormat="1" ht="11.25" customHeight="1">
      <c r="A23" s="130" t="s">
        <v>427</v>
      </c>
      <c r="B23" s="639"/>
      <c r="C23" s="639"/>
      <c r="D23" s="155"/>
      <c r="E23" s="155"/>
      <c r="F23" s="639"/>
      <c r="G23" s="639"/>
      <c r="H23" s="639"/>
      <c r="I23" s="639"/>
    </row>
    <row r="24" spans="1:9" s="42" customFormat="1" ht="11.25" customHeight="1">
      <c r="A24" s="130" t="s">
        <v>428</v>
      </c>
      <c r="B24" s="639"/>
      <c r="C24" s="639"/>
      <c r="D24" s="155"/>
      <c r="E24" s="155"/>
      <c r="F24" s="639"/>
      <c r="G24" s="639"/>
      <c r="H24" s="639"/>
      <c r="I24" s="639"/>
    </row>
    <row r="25" spans="1:9" s="42" customFormat="1" ht="11.25" customHeight="1">
      <c r="A25" s="130" t="s">
        <v>429</v>
      </c>
      <c r="B25" s="639"/>
      <c r="C25" s="639"/>
      <c r="D25" s="155"/>
      <c r="E25" s="155"/>
      <c r="F25" s="639"/>
      <c r="G25" s="639"/>
      <c r="H25" s="639"/>
      <c r="I25" s="639"/>
    </row>
    <row r="26" spans="1:9" s="42" customFormat="1" ht="11.25" customHeight="1">
      <c r="A26" s="128" t="s">
        <v>430</v>
      </c>
      <c r="B26" s="639"/>
      <c r="C26" s="639"/>
      <c r="D26" s="155"/>
      <c r="E26" s="155"/>
      <c r="F26" s="639"/>
      <c r="G26" s="639"/>
      <c r="H26" s="639"/>
      <c r="I26" s="639"/>
    </row>
    <row r="27" spans="1:9" s="42" customFormat="1" ht="11.25" customHeight="1">
      <c r="A27" s="130" t="s">
        <v>427</v>
      </c>
      <c r="B27" s="639"/>
      <c r="C27" s="639"/>
      <c r="D27" s="155"/>
      <c r="E27" s="155"/>
      <c r="F27" s="639"/>
      <c r="G27" s="639"/>
      <c r="H27" s="639"/>
      <c r="I27" s="639"/>
    </row>
    <row r="28" spans="1:9" s="42" customFormat="1" ht="11.25" customHeight="1">
      <c r="A28" s="130" t="s">
        <v>428</v>
      </c>
      <c r="B28" s="639"/>
      <c r="C28" s="639"/>
      <c r="D28" s="155"/>
      <c r="E28" s="155"/>
      <c r="F28" s="639"/>
      <c r="G28" s="639"/>
      <c r="H28" s="639"/>
      <c r="I28" s="639"/>
    </row>
    <row r="29" spans="1:9" s="42" customFormat="1" ht="11.25" customHeight="1">
      <c r="A29" s="130" t="s">
        <v>429</v>
      </c>
      <c r="B29" s="639"/>
      <c r="C29" s="639"/>
      <c r="D29" s="155"/>
      <c r="E29" s="155"/>
      <c r="F29" s="639"/>
      <c r="G29" s="639"/>
      <c r="H29" s="639"/>
      <c r="I29" s="639"/>
    </row>
    <row r="30" spans="1:9" s="42" customFormat="1" ht="11.25" customHeight="1">
      <c r="A30" s="128" t="s">
        <v>432</v>
      </c>
      <c r="B30" s="639"/>
      <c r="C30" s="639"/>
      <c r="D30" s="155"/>
      <c r="E30" s="155"/>
      <c r="F30" s="639"/>
      <c r="G30" s="639"/>
      <c r="H30" s="639"/>
      <c r="I30" s="639"/>
    </row>
    <row r="31" spans="1:9" s="42" customFormat="1" ht="11.25" customHeight="1">
      <c r="A31" s="125" t="s">
        <v>247</v>
      </c>
      <c r="B31" s="639"/>
      <c r="C31" s="639"/>
      <c r="D31" s="155"/>
      <c r="E31" s="155"/>
      <c r="F31" s="639"/>
      <c r="G31" s="639"/>
      <c r="H31" s="639"/>
      <c r="I31" s="639"/>
    </row>
    <row r="32" spans="1:9" s="42" customFormat="1" ht="11.25" customHeight="1">
      <c r="A32" s="128" t="s">
        <v>433</v>
      </c>
      <c r="B32" s="639"/>
      <c r="C32" s="639"/>
      <c r="D32" s="155"/>
      <c r="E32" s="155"/>
      <c r="F32" s="639"/>
      <c r="G32" s="639"/>
      <c r="H32" s="639"/>
      <c r="I32" s="639"/>
    </row>
    <row r="33" spans="1:9" s="42" customFormat="1" ht="11.25" customHeight="1">
      <c r="A33" s="128" t="s">
        <v>434</v>
      </c>
      <c r="B33" s="639"/>
      <c r="C33" s="639"/>
      <c r="D33" s="155"/>
      <c r="E33" s="155"/>
      <c r="F33" s="639"/>
      <c r="G33" s="639"/>
      <c r="H33" s="639"/>
      <c r="I33" s="639"/>
    </row>
    <row r="34" spans="1:9" s="42" customFormat="1" ht="11.25" customHeight="1">
      <c r="A34" s="128" t="s">
        <v>435</v>
      </c>
      <c r="B34" s="639"/>
      <c r="C34" s="639"/>
      <c r="D34" s="155"/>
      <c r="E34" s="155"/>
      <c r="F34" s="639"/>
      <c r="G34" s="639"/>
      <c r="H34" s="639"/>
      <c r="I34" s="639"/>
    </row>
    <row r="35" spans="1:9" s="42" customFormat="1" ht="11.25" customHeight="1">
      <c r="A35" s="125" t="s">
        <v>270</v>
      </c>
      <c r="B35" s="639"/>
      <c r="C35" s="639"/>
      <c r="D35" s="155"/>
      <c r="E35" s="155"/>
      <c r="F35" s="639"/>
      <c r="G35" s="639"/>
      <c r="H35" s="639"/>
      <c r="I35" s="639"/>
    </row>
    <row r="36" spans="1:9" s="42" customFormat="1" ht="11.25" customHeight="1">
      <c r="A36" s="125" t="s">
        <v>436</v>
      </c>
      <c r="B36" s="639"/>
      <c r="C36" s="639"/>
      <c r="D36" s="155"/>
      <c r="E36" s="155"/>
      <c r="F36" s="639"/>
      <c r="G36" s="639"/>
      <c r="H36" s="639"/>
      <c r="I36" s="639"/>
    </row>
    <row r="37" spans="1:9" s="42" customFormat="1" ht="11.25" customHeight="1">
      <c r="A37" s="125" t="s">
        <v>326</v>
      </c>
      <c r="B37" s="639"/>
      <c r="C37" s="639"/>
      <c r="D37" s="155"/>
      <c r="E37" s="155"/>
      <c r="F37" s="639"/>
      <c r="G37" s="639"/>
      <c r="H37" s="639"/>
      <c r="I37" s="639"/>
    </row>
    <row r="38" spans="1:9" s="42" customFormat="1" ht="11.25" customHeight="1">
      <c r="A38" s="128" t="s">
        <v>437</v>
      </c>
      <c r="B38" s="639"/>
      <c r="C38" s="639"/>
      <c r="D38" s="155"/>
      <c r="E38" s="155"/>
      <c r="F38" s="639"/>
      <c r="G38" s="639"/>
      <c r="H38" s="639"/>
      <c r="I38" s="639"/>
    </row>
    <row r="39" spans="1:9" s="42" customFormat="1" ht="11.25" customHeight="1">
      <c r="A39" s="128" t="s">
        <v>332</v>
      </c>
      <c r="B39" s="639"/>
      <c r="C39" s="639"/>
      <c r="D39" s="155"/>
      <c r="E39" s="155"/>
      <c r="F39" s="639"/>
      <c r="G39" s="639"/>
      <c r="H39" s="639"/>
      <c r="I39" s="639"/>
    </row>
    <row r="40" spans="1:9" s="43" customFormat="1" ht="11.25" customHeight="1">
      <c r="A40" s="44" t="s">
        <v>438</v>
      </c>
      <c r="B40" s="639"/>
      <c r="C40" s="639"/>
      <c r="D40" s="155"/>
      <c r="E40" s="155"/>
      <c r="F40" s="639"/>
      <c r="G40" s="639"/>
      <c r="H40" s="639"/>
      <c r="I40" s="639"/>
    </row>
    <row r="41" spans="1:9" s="43" customFormat="1" ht="11.25" customHeight="1">
      <c r="A41" s="125" t="s">
        <v>439</v>
      </c>
      <c r="B41" s="639"/>
      <c r="C41" s="639"/>
      <c r="D41" s="155"/>
      <c r="E41" s="155"/>
      <c r="F41" s="639"/>
      <c r="G41" s="639"/>
      <c r="H41" s="639"/>
      <c r="I41" s="639"/>
    </row>
    <row r="42" spans="1:9" s="42" customFormat="1" ht="11.25" customHeight="1">
      <c r="A42" s="125" t="s">
        <v>351</v>
      </c>
      <c r="B42" s="639"/>
      <c r="C42" s="639"/>
      <c r="D42" s="155"/>
      <c r="E42" s="155"/>
      <c r="F42" s="639"/>
      <c r="G42" s="639"/>
      <c r="H42" s="639"/>
      <c r="I42" s="639"/>
    </row>
    <row r="43" spans="1:9" s="42" customFormat="1" ht="11.25" customHeight="1">
      <c r="A43" s="125" t="s">
        <v>362</v>
      </c>
      <c r="B43" s="639"/>
      <c r="C43" s="639"/>
      <c r="D43" s="155"/>
      <c r="E43" s="155"/>
      <c r="F43" s="639"/>
      <c r="G43" s="639"/>
      <c r="H43" s="639"/>
      <c r="I43" s="639"/>
    </row>
    <row r="44" spans="1:9" s="42" customFormat="1" ht="11.25" customHeight="1">
      <c r="A44" s="186" t="s">
        <v>440</v>
      </c>
      <c r="B44" s="187"/>
      <c r="C44" s="186"/>
      <c r="D44" s="188"/>
      <c r="E44" s="189"/>
      <c r="F44" s="190"/>
      <c r="G44" s="189"/>
      <c r="H44" s="188"/>
      <c r="I44" s="188"/>
    </row>
    <row r="45" spans="2:6" s="42" customFormat="1" ht="11.25" customHeight="1">
      <c r="B45" s="131"/>
      <c r="C45" s="131"/>
      <c r="D45" s="131"/>
      <c r="E45" s="131"/>
      <c r="F45" s="129"/>
    </row>
    <row r="46" spans="1:9" s="42" customFormat="1" ht="11.25" customHeight="1">
      <c r="A46" s="191" t="s">
        <v>441</v>
      </c>
      <c r="B46" s="635">
        <f>B10</f>
        <v>2019</v>
      </c>
      <c r="C46" s="637"/>
      <c r="D46" s="637"/>
      <c r="E46" s="636"/>
      <c r="F46" s="635">
        <f>F10</f>
        <v>2018</v>
      </c>
      <c r="G46" s="636"/>
      <c r="H46" s="635">
        <f>H10</f>
        <v>2017</v>
      </c>
      <c r="I46" s="637"/>
    </row>
    <row r="47" spans="1:9" s="42" customFormat="1" ht="11.25" customHeight="1">
      <c r="A47" s="132" t="s">
        <v>442</v>
      </c>
      <c r="B47" s="639"/>
      <c r="C47" s="639"/>
      <c r="D47" s="149"/>
      <c r="E47" s="150"/>
      <c r="F47" s="639"/>
      <c r="G47" s="639"/>
      <c r="H47" s="646"/>
      <c r="I47" s="562"/>
    </row>
    <row r="48" spans="1:9" s="42" customFormat="1" ht="11.25" customHeight="1">
      <c r="A48" s="133" t="s">
        <v>443</v>
      </c>
      <c r="B48" s="639"/>
      <c r="C48" s="639"/>
      <c r="D48" s="151"/>
      <c r="E48" s="152"/>
      <c r="F48" s="639"/>
      <c r="G48" s="639"/>
      <c r="H48" s="646"/>
      <c r="I48" s="562"/>
    </row>
    <row r="49" spans="1:9" s="42" customFormat="1" ht="11.25" customHeight="1">
      <c r="A49" s="133" t="s">
        <v>444</v>
      </c>
      <c r="B49" s="639"/>
      <c r="C49" s="639"/>
      <c r="D49" s="151"/>
      <c r="E49" s="152"/>
      <c r="F49" s="639"/>
      <c r="G49" s="639"/>
      <c r="H49" s="646"/>
      <c r="I49" s="562"/>
    </row>
    <row r="50" spans="1:9" s="42" customFormat="1" ht="11.25" customHeight="1">
      <c r="A50" s="134" t="s">
        <v>445</v>
      </c>
      <c r="B50" s="639"/>
      <c r="C50" s="639"/>
      <c r="D50" s="151"/>
      <c r="E50" s="152"/>
      <c r="F50" s="639"/>
      <c r="G50" s="639"/>
      <c r="H50" s="646"/>
      <c r="I50" s="562"/>
    </row>
    <row r="51" spans="1:9" s="43" customFormat="1" ht="11.25" customHeight="1">
      <c r="A51" s="125" t="s">
        <v>446</v>
      </c>
      <c r="B51" s="639"/>
      <c r="C51" s="639"/>
      <c r="D51" s="151"/>
      <c r="E51" s="152"/>
      <c r="F51" s="639"/>
      <c r="G51" s="639"/>
      <c r="H51" s="646"/>
      <c r="I51" s="562"/>
    </row>
    <row r="52" spans="1:9" s="42" customFormat="1" ht="11.25" customHeight="1">
      <c r="A52" s="135" t="s">
        <v>447</v>
      </c>
      <c r="B52" s="639"/>
      <c r="C52" s="639"/>
      <c r="D52" s="151"/>
      <c r="E52" s="152"/>
      <c r="F52" s="639"/>
      <c r="G52" s="639"/>
      <c r="H52" s="646"/>
      <c r="I52" s="562"/>
    </row>
    <row r="53" spans="1:9" s="42" customFormat="1" ht="11.25" customHeight="1">
      <c r="A53" s="135" t="s">
        <v>448</v>
      </c>
      <c r="B53" s="639"/>
      <c r="C53" s="639"/>
      <c r="D53" s="151"/>
      <c r="E53" s="152"/>
      <c r="F53" s="639"/>
      <c r="G53" s="639"/>
      <c r="H53" s="646"/>
      <c r="I53" s="562"/>
    </row>
    <row r="54" spans="1:9" s="42" customFormat="1" ht="11.25" customHeight="1">
      <c r="A54" s="135" t="s">
        <v>449</v>
      </c>
      <c r="B54" s="639"/>
      <c r="C54" s="639"/>
      <c r="D54" s="151"/>
      <c r="E54" s="152"/>
      <c r="F54" s="639"/>
      <c r="G54" s="639"/>
      <c r="H54" s="646"/>
      <c r="I54" s="562"/>
    </row>
    <row r="55" spans="1:9" s="42" customFormat="1" ht="11.25" customHeight="1">
      <c r="A55" s="125" t="s">
        <v>450</v>
      </c>
      <c r="B55" s="639"/>
      <c r="C55" s="639"/>
      <c r="D55" s="151"/>
      <c r="E55" s="152"/>
      <c r="F55" s="639"/>
      <c r="G55" s="639"/>
      <c r="H55" s="646"/>
      <c r="I55" s="562"/>
    </row>
    <row r="56" spans="1:9" s="42" customFormat="1" ht="11.25" customHeight="1">
      <c r="A56" s="135" t="s">
        <v>451</v>
      </c>
      <c r="B56" s="639"/>
      <c r="C56" s="639"/>
      <c r="D56" s="151"/>
      <c r="E56" s="152"/>
      <c r="F56" s="639"/>
      <c r="G56" s="639"/>
      <c r="H56" s="646"/>
      <c r="I56" s="562"/>
    </row>
    <row r="57" spans="1:9" s="42" customFormat="1" ht="11.25" customHeight="1">
      <c r="A57" s="135" t="s">
        <v>448</v>
      </c>
      <c r="B57" s="639"/>
      <c r="C57" s="639"/>
      <c r="D57" s="151"/>
      <c r="E57" s="152"/>
      <c r="F57" s="639"/>
      <c r="G57" s="639"/>
      <c r="H57" s="646"/>
      <c r="I57" s="562"/>
    </row>
    <row r="58" spans="1:9" s="42" customFormat="1" ht="11.25" customHeight="1">
      <c r="A58" s="135" t="s">
        <v>449</v>
      </c>
      <c r="B58" s="639"/>
      <c r="C58" s="639"/>
      <c r="D58" s="151"/>
      <c r="E58" s="152"/>
      <c r="F58" s="639"/>
      <c r="G58" s="639"/>
      <c r="H58" s="646"/>
      <c r="I58" s="562"/>
    </row>
    <row r="59" spans="1:9" s="42" customFormat="1" ht="11.25" customHeight="1">
      <c r="A59" s="133" t="s">
        <v>452</v>
      </c>
      <c r="B59" s="639"/>
      <c r="C59" s="639"/>
      <c r="D59" s="151"/>
      <c r="E59" s="152"/>
      <c r="F59" s="639"/>
      <c r="G59" s="639"/>
      <c r="H59" s="646"/>
      <c r="I59" s="562"/>
    </row>
    <row r="60" spans="1:9" s="42" customFormat="1" ht="11.25" customHeight="1">
      <c r="A60" s="135" t="s">
        <v>453</v>
      </c>
      <c r="B60" s="639"/>
      <c r="C60" s="639"/>
      <c r="D60" s="151"/>
      <c r="E60" s="152"/>
      <c r="F60" s="639"/>
      <c r="G60" s="639"/>
      <c r="H60" s="646"/>
      <c r="I60" s="562"/>
    </row>
    <row r="61" spans="1:9" s="42" customFormat="1" ht="11.25" customHeight="1">
      <c r="A61" s="135" t="s">
        <v>454</v>
      </c>
      <c r="B61" s="639"/>
      <c r="C61" s="639"/>
      <c r="D61" s="158"/>
      <c r="E61" s="159"/>
      <c r="F61" s="639"/>
      <c r="G61" s="639"/>
      <c r="H61" s="646"/>
      <c r="I61" s="562"/>
    </row>
    <row r="62" spans="1:9" s="42" customFormat="1" ht="11.25" customHeight="1">
      <c r="A62" s="192" t="s">
        <v>455</v>
      </c>
      <c r="B62" s="646"/>
      <c r="C62" s="663"/>
      <c r="D62" s="663"/>
      <c r="E62" s="664"/>
      <c r="F62" s="193"/>
      <c r="G62" s="194"/>
      <c r="H62" s="195"/>
      <c r="I62" s="137"/>
    </row>
    <row r="63" spans="1:9" s="42" customFormat="1" ht="11.25" customHeight="1">
      <c r="A63" s="136"/>
      <c r="B63" s="137"/>
      <c r="C63" s="137"/>
      <c r="D63" s="138"/>
      <c r="E63" s="138"/>
      <c r="F63" s="138"/>
      <c r="G63" s="84"/>
      <c r="H63" s="84"/>
      <c r="I63" s="84"/>
    </row>
    <row r="64" spans="1:9" s="42" customFormat="1" ht="11.25" customHeight="1">
      <c r="A64" s="196" t="s">
        <v>178</v>
      </c>
      <c r="B64" s="660"/>
      <c r="C64" s="661"/>
      <c r="D64" s="661"/>
      <c r="E64" s="662"/>
      <c r="F64" s="543"/>
      <c r="G64" s="545"/>
      <c r="H64" s="543"/>
      <c r="I64" s="544"/>
    </row>
    <row r="65" spans="1:9" s="42" customFormat="1" ht="11.25" customHeight="1">
      <c r="A65" s="139"/>
      <c r="B65" s="140"/>
      <c r="C65" s="140"/>
      <c r="D65" s="140"/>
      <c r="E65" s="140"/>
      <c r="F65" s="141"/>
      <c r="G65" s="141"/>
      <c r="H65" s="141"/>
      <c r="I65" s="141"/>
    </row>
    <row r="66" spans="1:9" s="42" customFormat="1" ht="11.25" customHeight="1">
      <c r="A66" s="197" t="s">
        <v>456</v>
      </c>
      <c r="B66" s="635"/>
      <c r="C66" s="637"/>
      <c r="D66" s="637"/>
      <c r="E66" s="636"/>
      <c r="F66" s="635"/>
      <c r="G66" s="636"/>
      <c r="H66" s="635"/>
      <c r="I66" s="637"/>
    </row>
    <row r="67" spans="1:9" s="42" customFormat="1" ht="11.25" customHeight="1">
      <c r="A67" s="198" t="s">
        <v>457</v>
      </c>
      <c r="B67" s="649"/>
      <c r="C67" s="650"/>
      <c r="D67" s="650"/>
      <c r="E67" s="650"/>
      <c r="F67" s="650"/>
      <c r="G67" s="650"/>
      <c r="H67" s="650"/>
      <c r="I67" s="650"/>
    </row>
    <row r="68" spans="1:9" s="42" customFormat="1" ht="11.25" customHeight="1">
      <c r="A68" s="139"/>
      <c r="B68" s="140"/>
      <c r="C68" s="140"/>
      <c r="D68" s="141"/>
      <c r="E68" s="141"/>
      <c r="F68" s="142"/>
      <c r="G68" s="142"/>
      <c r="H68" s="142"/>
      <c r="I68" s="142"/>
    </row>
    <row r="69" spans="1:9" s="42" customFormat="1" ht="11.25" customHeight="1">
      <c r="A69" s="197" t="s">
        <v>179</v>
      </c>
      <c r="B69" s="640">
        <f>B46</f>
        <v>2019</v>
      </c>
      <c r="C69" s="645"/>
      <c r="D69" s="645"/>
      <c r="E69" s="641"/>
      <c r="F69" s="640">
        <f>F46</f>
        <v>2018</v>
      </c>
      <c r="G69" s="641"/>
      <c r="H69" s="640">
        <f>H46</f>
        <v>2017</v>
      </c>
      <c r="I69" s="645"/>
    </row>
    <row r="70" spans="1:9" s="42" customFormat="1" ht="11.25" customHeight="1">
      <c r="A70" s="198" t="s">
        <v>457</v>
      </c>
      <c r="B70" s="647"/>
      <c r="C70" s="648"/>
      <c r="D70" s="199"/>
      <c r="E70" s="199"/>
      <c r="F70" s="647"/>
      <c r="G70" s="648"/>
      <c r="H70" s="647"/>
      <c r="I70" s="648"/>
    </row>
    <row r="71" spans="1:6" s="42" customFormat="1" ht="11.25" customHeight="1">
      <c r="A71" s="84"/>
      <c r="B71" s="143"/>
      <c r="C71" s="144"/>
      <c r="D71" s="144"/>
      <c r="E71" s="144"/>
      <c r="F71" s="144"/>
    </row>
    <row r="72" spans="1:9" s="42" customFormat="1" ht="11.25" customHeight="1">
      <c r="A72" s="197" t="s">
        <v>458</v>
      </c>
      <c r="B72" s="642">
        <f>B69</f>
        <v>2019</v>
      </c>
      <c r="C72" s="644"/>
      <c r="D72" s="644"/>
      <c r="E72" s="643"/>
      <c r="F72" s="642">
        <f>F69</f>
        <v>2018</v>
      </c>
      <c r="G72" s="643"/>
      <c r="H72" s="642">
        <f>H69</f>
        <v>2017</v>
      </c>
      <c r="I72" s="644"/>
    </row>
    <row r="73" spans="1:9" s="42" customFormat="1" ht="11.25" customHeight="1">
      <c r="A73" s="200" t="s">
        <v>459</v>
      </c>
      <c r="B73" s="638"/>
      <c r="C73" s="638"/>
      <c r="D73" s="202"/>
      <c r="E73" s="84"/>
      <c r="F73" s="638"/>
      <c r="G73" s="638"/>
      <c r="H73" s="638"/>
      <c r="I73" s="638"/>
    </row>
    <row r="74" spans="1:9" s="42" customFormat="1" ht="11.25" customHeight="1">
      <c r="A74" s="203" t="s">
        <v>460</v>
      </c>
      <c r="B74" s="638"/>
      <c r="C74" s="638"/>
      <c r="D74" s="202"/>
      <c r="E74" s="84"/>
      <c r="F74" s="638"/>
      <c r="G74" s="638"/>
      <c r="H74" s="638"/>
      <c r="I74" s="638"/>
    </row>
    <row r="75" spans="1:9" s="42" customFormat="1" ht="11.25" customHeight="1">
      <c r="A75" s="84" t="s">
        <v>461</v>
      </c>
      <c r="B75" s="638"/>
      <c r="C75" s="638"/>
      <c r="D75" s="202"/>
      <c r="E75" s="84"/>
      <c r="F75" s="638"/>
      <c r="G75" s="638"/>
      <c r="H75" s="638"/>
      <c r="I75" s="638"/>
    </row>
    <row r="76" spans="1:9" s="42" customFormat="1" ht="11.25" customHeight="1">
      <c r="A76" s="204" t="s">
        <v>462</v>
      </c>
      <c r="B76" s="638"/>
      <c r="C76" s="638"/>
      <c r="D76" s="205"/>
      <c r="E76" s="145"/>
      <c r="F76" s="638"/>
      <c r="G76" s="638"/>
      <c r="H76" s="638"/>
      <c r="I76" s="638"/>
    </row>
    <row r="77" spans="1:7" s="42" customFormat="1" ht="11.25" customHeight="1">
      <c r="A77" s="206"/>
      <c r="B77" s="206"/>
      <c r="C77" s="206"/>
      <c r="D77" s="206"/>
      <c r="E77" s="206"/>
      <c r="F77" s="206"/>
      <c r="G77" s="84"/>
    </row>
    <row r="78" spans="1:9" s="42" customFormat="1" ht="11.25" customHeight="1">
      <c r="A78" s="207" t="s">
        <v>180</v>
      </c>
      <c r="B78" s="635">
        <f>B72</f>
        <v>2019</v>
      </c>
      <c r="C78" s="637"/>
      <c r="D78" s="637"/>
      <c r="E78" s="636"/>
      <c r="F78" s="635">
        <f>F72</f>
        <v>2018</v>
      </c>
      <c r="G78" s="636"/>
      <c r="H78" s="635">
        <f>H72</f>
        <v>2017</v>
      </c>
      <c r="I78" s="637"/>
    </row>
    <row r="79" spans="1:9" s="42" customFormat="1" ht="11.25" customHeight="1">
      <c r="A79" s="208" t="s">
        <v>463</v>
      </c>
      <c r="B79" s="638"/>
      <c r="C79" s="638"/>
      <c r="D79" s="208"/>
      <c r="E79" s="208"/>
      <c r="F79" s="638"/>
      <c r="G79" s="638"/>
      <c r="H79" s="638"/>
      <c r="I79" s="638"/>
    </row>
    <row r="80" spans="1:9" s="42" customFormat="1" ht="11.25" customHeight="1">
      <c r="A80" s="209" t="s">
        <v>464</v>
      </c>
      <c r="B80" s="638"/>
      <c r="C80" s="638"/>
      <c r="D80" s="209"/>
      <c r="E80" s="209"/>
      <c r="F80" s="638"/>
      <c r="G80" s="638"/>
      <c r="H80" s="638"/>
      <c r="I80" s="638"/>
    </row>
    <row r="81" spans="1:9" s="42" customFormat="1" ht="11.25" customHeight="1">
      <c r="A81" s="210" t="s">
        <v>465</v>
      </c>
      <c r="B81" s="638"/>
      <c r="C81" s="638"/>
      <c r="D81" s="211"/>
      <c r="E81" s="211"/>
      <c r="F81" s="638"/>
      <c r="G81" s="638"/>
      <c r="H81" s="638"/>
      <c r="I81" s="638"/>
    </row>
    <row r="82" spans="1:9" s="42" customFormat="1" ht="11.25" customHeight="1" thickBot="1">
      <c r="A82" s="146"/>
      <c r="B82" s="147"/>
      <c r="C82" s="147"/>
      <c r="D82" s="124"/>
      <c r="E82" s="124"/>
      <c r="F82" s="124"/>
      <c r="G82" s="84"/>
      <c r="H82" s="84"/>
      <c r="I82" s="84"/>
    </row>
    <row r="83" spans="1:9" s="42" customFormat="1" ht="11.25" customHeight="1">
      <c r="A83" s="655" t="s">
        <v>466</v>
      </c>
      <c r="B83" s="656"/>
      <c r="C83" s="656"/>
      <c r="D83" s="656"/>
      <c r="E83" s="656"/>
      <c r="F83" s="656"/>
      <c r="G83" s="656"/>
      <c r="H83" s="656"/>
      <c r="I83" s="656"/>
    </row>
    <row r="84" spans="1:9" s="42" customFormat="1" ht="11.25" customHeight="1">
      <c r="A84" s="212" t="s">
        <v>423</v>
      </c>
      <c r="B84" s="642">
        <f>B78</f>
        <v>2019</v>
      </c>
      <c r="C84" s="644"/>
      <c r="D84" s="644"/>
      <c r="E84" s="643"/>
      <c r="F84" s="635">
        <f>F78</f>
        <v>2018</v>
      </c>
      <c r="G84" s="636"/>
      <c r="H84" s="635">
        <f>H78</f>
        <v>2017</v>
      </c>
      <c r="I84" s="637"/>
    </row>
    <row r="85" spans="1:9" s="42" customFormat="1" ht="11.25" customHeight="1">
      <c r="A85" s="124" t="s">
        <v>467</v>
      </c>
      <c r="B85" s="629"/>
      <c r="C85" s="630"/>
      <c r="D85" s="124"/>
      <c r="E85" s="53"/>
      <c r="F85" s="629"/>
      <c r="G85" s="630"/>
      <c r="H85" s="629"/>
      <c r="I85" s="630"/>
    </row>
    <row r="86" spans="1:9" s="42" customFormat="1" ht="11.25" customHeight="1">
      <c r="A86" s="125" t="s">
        <v>468</v>
      </c>
      <c r="B86" s="629"/>
      <c r="C86" s="630"/>
      <c r="D86" s="126"/>
      <c r="E86" s="127"/>
      <c r="F86" s="629"/>
      <c r="G86" s="630"/>
      <c r="H86" s="629"/>
      <c r="I86" s="630"/>
    </row>
    <row r="87" spans="1:9" s="42" customFormat="1" ht="11.25" customHeight="1">
      <c r="A87" s="128" t="s">
        <v>426</v>
      </c>
      <c r="B87" s="629"/>
      <c r="C87" s="630"/>
      <c r="D87" s="126"/>
      <c r="E87" s="127"/>
      <c r="F87" s="629"/>
      <c r="G87" s="630"/>
      <c r="H87" s="629"/>
      <c r="I87" s="630"/>
    </row>
    <row r="88" spans="1:9" s="42" customFormat="1" ht="11.25" customHeight="1">
      <c r="A88" s="130" t="s">
        <v>427</v>
      </c>
      <c r="B88" s="629"/>
      <c r="C88" s="630"/>
      <c r="D88" s="126"/>
      <c r="E88" s="127"/>
      <c r="F88" s="629"/>
      <c r="G88" s="630"/>
      <c r="H88" s="629"/>
      <c r="I88" s="630"/>
    </row>
    <row r="89" spans="1:9" s="42" customFormat="1" ht="11.25" customHeight="1">
      <c r="A89" s="130" t="s">
        <v>428</v>
      </c>
      <c r="B89" s="629"/>
      <c r="C89" s="630"/>
      <c r="D89" s="126"/>
      <c r="E89" s="127"/>
      <c r="F89" s="629"/>
      <c r="G89" s="630"/>
      <c r="H89" s="629"/>
      <c r="I89" s="630"/>
    </row>
    <row r="90" spans="1:9" s="42" customFormat="1" ht="11.25" customHeight="1">
      <c r="A90" s="130" t="s">
        <v>429</v>
      </c>
      <c r="B90" s="629"/>
      <c r="C90" s="630"/>
      <c r="D90" s="126"/>
      <c r="E90" s="127"/>
      <c r="F90" s="629"/>
      <c r="G90" s="630"/>
      <c r="H90" s="629"/>
      <c r="I90" s="630"/>
    </row>
    <row r="91" spans="1:9" s="42" customFormat="1" ht="11.25" customHeight="1">
      <c r="A91" s="128" t="s">
        <v>430</v>
      </c>
      <c r="B91" s="629"/>
      <c r="C91" s="630"/>
      <c r="D91" s="126"/>
      <c r="E91" s="127"/>
      <c r="F91" s="629"/>
      <c r="G91" s="630"/>
      <c r="H91" s="629"/>
      <c r="I91" s="630"/>
    </row>
    <row r="92" spans="1:9" s="42" customFormat="1" ht="11.25" customHeight="1">
      <c r="A92" s="130" t="s">
        <v>427</v>
      </c>
      <c r="B92" s="629"/>
      <c r="C92" s="630"/>
      <c r="D92" s="126"/>
      <c r="E92" s="127"/>
      <c r="F92" s="629"/>
      <c r="G92" s="630"/>
      <c r="H92" s="629"/>
      <c r="I92" s="630"/>
    </row>
    <row r="93" spans="1:9" s="42" customFormat="1" ht="11.25" customHeight="1">
      <c r="A93" s="130" t="s">
        <v>428</v>
      </c>
      <c r="B93" s="629"/>
      <c r="C93" s="630"/>
      <c r="D93" s="126"/>
      <c r="E93" s="127"/>
      <c r="F93" s="629"/>
      <c r="G93" s="630"/>
      <c r="H93" s="629"/>
      <c r="I93" s="630"/>
    </row>
    <row r="94" spans="1:9" s="42" customFormat="1" ht="11.25" customHeight="1">
      <c r="A94" s="130" t="s">
        <v>429</v>
      </c>
      <c r="B94" s="629"/>
      <c r="C94" s="630"/>
      <c r="D94" s="126"/>
      <c r="E94" s="127"/>
      <c r="F94" s="629"/>
      <c r="G94" s="630"/>
      <c r="H94" s="629"/>
      <c r="I94" s="630"/>
    </row>
    <row r="95" spans="1:9" s="42" customFormat="1" ht="11.25" customHeight="1">
      <c r="A95" s="125" t="s">
        <v>469</v>
      </c>
      <c r="B95" s="629"/>
      <c r="C95" s="630"/>
      <c r="D95" s="126"/>
      <c r="E95" s="127"/>
      <c r="F95" s="629"/>
      <c r="G95" s="630"/>
      <c r="H95" s="629"/>
      <c r="I95" s="630"/>
    </row>
    <row r="96" spans="1:9" s="42" customFormat="1" ht="11.25" customHeight="1">
      <c r="A96" s="128" t="s">
        <v>426</v>
      </c>
      <c r="B96" s="629"/>
      <c r="C96" s="630"/>
      <c r="D96" s="126"/>
      <c r="E96" s="127"/>
      <c r="F96" s="629"/>
      <c r="G96" s="630"/>
      <c r="H96" s="629"/>
      <c r="I96" s="630"/>
    </row>
    <row r="97" spans="1:9" s="42" customFormat="1" ht="11.25" customHeight="1">
      <c r="A97" s="130" t="s">
        <v>427</v>
      </c>
      <c r="B97" s="629"/>
      <c r="C97" s="630"/>
      <c r="D97" s="126"/>
      <c r="E97" s="127"/>
      <c r="F97" s="629"/>
      <c r="G97" s="630"/>
      <c r="H97" s="629"/>
      <c r="I97" s="630"/>
    </row>
    <row r="98" spans="1:9" s="42" customFormat="1" ht="11.25" customHeight="1">
      <c r="A98" s="130" t="s">
        <v>428</v>
      </c>
      <c r="B98" s="629"/>
      <c r="C98" s="630"/>
      <c r="D98" s="126"/>
      <c r="E98" s="127"/>
      <c r="F98" s="629"/>
      <c r="G98" s="630"/>
      <c r="H98" s="629"/>
      <c r="I98" s="630"/>
    </row>
    <row r="99" spans="1:9" s="42" customFormat="1" ht="11.25" customHeight="1">
      <c r="A99" s="130" t="s">
        <v>429</v>
      </c>
      <c r="B99" s="629"/>
      <c r="C99" s="630"/>
      <c r="D99" s="126"/>
      <c r="E99" s="127"/>
      <c r="F99" s="629"/>
      <c r="G99" s="630"/>
      <c r="H99" s="629"/>
      <c r="I99" s="630"/>
    </row>
    <row r="100" spans="1:9" s="42" customFormat="1" ht="11.25" customHeight="1">
      <c r="A100" s="128" t="s">
        <v>430</v>
      </c>
      <c r="B100" s="629"/>
      <c r="C100" s="630"/>
      <c r="D100" s="126"/>
      <c r="E100" s="127"/>
      <c r="F100" s="629"/>
      <c r="G100" s="630"/>
      <c r="H100" s="629"/>
      <c r="I100" s="630"/>
    </row>
    <row r="101" spans="1:9" s="42" customFormat="1" ht="11.25" customHeight="1">
      <c r="A101" s="130" t="s">
        <v>427</v>
      </c>
      <c r="B101" s="629"/>
      <c r="C101" s="630"/>
      <c r="D101" s="126"/>
      <c r="E101" s="127"/>
      <c r="F101" s="629"/>
      <c r="G101" s="630"/>
      <c r="H101" s="629"/>
      <c r="I101" s="630"/>
    </row>
    <row r="102" spans="1:9" s="42" customFormat="1" ht="11.25" customHeight="1">
      <c r="A102" s="130" t="s">
        <v>428</v>
      </c>
      <c r="B102" s="629"/>
      <c r="C102" s="630"/>
      <c r="D102" s="126"/>
      <c r="E102" s="127"/>
      <c r="F102" s="629"/>
      <c r="G102" s="630"/>
      <c r="H102" s="629"/>
      <c r="I102" s="630"/>
    </row>
    <row r="103" spans="1:9" s="42" customFormat="1" ht="11.25" customHeight="1">
      <c r="A103" s="130" t="s">
        <v>429</v>
      </c>
      <c r="B103" s="629"/>
      <c r="C103" s="630"/>
      <c r="D103" s="126"/>
      <c r="E103" s="127"/>
      <c r="F103" s="629"/>
      <c r="G103" s="630"/>
      <c r="H103" s="629"/>
      <c r="I103" s="630"/>
    </row>
    <row r="104" spans="1:9" s="42" customFormat="1" ht="11.25" customHeight="1">
      <c r="A104" s="128" t="s">
        <v>482</v>
      </c>
      <c r="B104" s="629"/>
      <c r="C104" s="630"/>
      <c r="D104" s="126"/>
      <c r="E104" s="127"/>
      <c r="F104" s="629"/>
      <c r="G104" s="630"/>
      <c r="H104" s="629"/>
      <c r="I104" s="630"/>
    </row>
    <row r="105" spans="1:9" s="42" customFormat="1" ht="11.25" customHeight="1">
      <c r="A105" s="125" t="s">
        <v>247</v>
      </c>
      <c r="B105" s="629"/>
      <c r="C105" s="630"/>
      <c r="D105" s="126"/>
      <c r="E105" s="127"/>
      <c r="F105" s="629"/>
      <c r="G105" s="630"/>
      <c r="H105" s="629"/>
      <c r="I105" s="630"/>
    </row>
    <row r="106" spans="1:9" s="42" customFormat="1" ht="11.25" customHeight="1">
      <c r="A106" s="128" t="s">
        <v>433</v>
      </c>
      <c r="B106" s="629"/>
      <c r="C106" s="630"/>
      <c r="D106" s="126"/>
      <c r="E106" s="127"/>
      <c r="F106" s="629"/>
      <c r="G106" s="630"/>
      <c r="H106" s="629"/>
      <c r="I106" s="630"/>
    </row>
    <row r="107" spans="1:9" s="42" customFormat="1" ht="11.25" customHeight="1">
      <c r="A107" s="128" t="s">
        <v>434</v>
      </c>
      <c r="B107" s="629"/>
      <c r="C107" s="630"/>
      <c r="D107" s="126"/>
      <c r="E107" s="127"/>
      <c r="F107" s="629"/>
      <c r="G107" s="630"/>
      <c r="H107" s="629"/>
      <c r="I107" s="630"/>
    </row>
    <row r="108" spans="1:9" s="42" customFormat="1" ht="11.25" customHeight="1">
      <c r="A108" s="128" t="s">
        <v>435</v>
      </c>
      <c r="B108" s="629"/>
      <c r="C108" s="630"/>
      <c r="D108" s="126"/>
      <c r="E108" s="127"/>
      <c r="F108" s="629"/>
      <c r="G108" s="630"/>
      <c r="H108" s="629"/>
      <c r="I108" s="630"/>
    </row>
    <row r="109" spans="1:9" s="42" customFormat="1" ht="11.25" customHeight="1">
      <c r="A109" s="125" t="s">
        <v>270</v>
      </c>
      <c r="B109" s="629"/>
      <c r="C109" s="630"/>
      <c r="D109" s="126"/>
      <c r="E109" s="127"/>
      <c r="F109" s="629"/>
      <c r="G109" s="630"/>
      <c r="H109" s="629"/>
      <c r="I109" s="630"/>
    </row>
    <row r="110" spans="1:9" s="42" customFormat="1" ht="11.25" customHeight="1">
      <c r="A110" s="125" t="s">
        <v>326</v>
      </c>
      <c r="B110" s="629"/>
      <c r="C110" s="630"/>
      <c r="D110" s="126"/>
      <c r="E110" s="127"/>
      <c r="F110" s="629"/>
      <c r="G110" s="630"/>
      <c r="H110" s="629"/>
      <c r="I110" s="630"/>
    </row>
    <row r="111" spans="1:9" s="42" customFormat="1" ht="11.25" customHeight="1">
      <c r="A111" s="128" t="s">
        <v>437</v>
      </c>
      <c r="B111" s="629"/>
      <c r="C111" s="630"/>
      <c r="D111" s="126"/>
      <c r="E111" s="127"/>
      <c r="F111" s="629"/>
      <c r="G111" s="630"/>
      <c r="H111" s="629"/>
      <c r="I111" s="630"/>
    </row>
    <row r="112" spans="1:9" s="42" customFormat="1" ht="11.25" customHeight="1">
      <c r="A112" s="128" t="s">
        <v>332</v>
      </c>
      <c r="B112" s="629"/>
      <c r="C112" s="630"/>
      <c r="D112" s="126"/>
      <c r="E112" s="127"/>
      <c r="F112" s="629"/>
      <c r="G112" s="630"/>
      <c r="H112" s="629"/>
      <c r="I112" s="630"/>
    </row>
    <row r="113" spans="1:9" s="42" customFormat="1" ht="11.25" customHeight="1">
      <c r="A113" s="44" t="s">
        <v>470</v>
      </c>
      <c r="B113" s="629"/>
      <c r="C113" s="630"/>
      <c r="D113" s="126"/>
      <c r="E113" s="127"/>
      <c r="F113" s="629"/>
      <c r="G113" s="630"/>
      <c r="H113" s="629"/>
      <c r="I113" s="630"/>
    </row>
    <row r="114" spans="1:9" s="42" customFormat="1" ht="11.25" customHeight="1">
      <c r="A114" s="125" t="s">
        <v>439</v>
      </c>
      <c r="B114" s="629"/>
      <c r="C114" s="630"/>
      <c r="D114" s="126"/>
      <c r="E114" s="127"/>
      <c r="F114" s="629"/>
      <c r="G114" s="630"/>
      <c r="H114" s="629"/>
      <c r="I114" s="630"/>
    </row>
    <row r="115" spans="1:9" s="42" customFormat="1" ht="11.25" customHeight="1">
      <c r="A115" s="125" t="s">
        <v>351</v>
      </c>
      <c r="B115" s="629"/>
      <c r="C115" s="630"/>
      <c r="D115" s="126"/>
      <c r="E115" s="127"/>
      <c r="F115" s="629"/>
      <c r="G115" s="630"/>
      <c r="H115" s="629"/>
      <c r="I115" s="630"/>
    </row>
    <row r="116" spans="1:9" s="42" customFormat="1" ht="11.25" customHeight="1">
      <c r="A116" s="125" t="s">
        <v>362</v>
      </c>
      <c r="B116" s="629"/>
      <c r="C116" s="630"/>
      <c r="D116" s="126"/>
      <c r="E116" s="127"/>
      <c r="F116" s="629"/>
      <c r="G116" s="630"/>
      <c r="H116" s="629"/>
      <c r="I116" s="630"/>
    </row>
    <row r="117" spans="1:9" s="42" customFormat="1" ht="11.25" customHeight="1">
      <c r="A117" s="213" t="s">
        <v>471</v>
      </c>
      <c r="B117" s="214"/>
      <c r="C117" s="213"/>
      <c r="D117" s="215"/>
      <c r="E117" s="216"/>
      <c r="F117" s="217"/>
      <c r="G117" s="216"/>
      <c r="H117" s="215"/>
      <c r="I117" s="215"/>
    </row>
    <row r="118" spans="2:6" s="42" customFormat="1" ht="11.25" customHeight="1">
      <c r="B118" s="131"/>
      <c r="C118" s="131"/>
      <c r="D118" s="131"/>
      <c r="E118" s="131"/>
      <c r="F118" s="129"/>
    </row>
    <row r="119" spans="1:9" s="42" customFormat="1" ht="11.25" customHeight="1">
      <c r="A119" s="191" t="s">
        <v>441</v>
      </c>
      <c r="B119" s="635">
        <f>B84</f>
        <v>2019</v>
      </c>
      <c r="C119" s="637"/>
      <c r="D119" s="637"/>
      <c r="E119" s="218"/>
      <c r="F119" s="635">
        <f>F84</f>
        <v>2018</v>
      </c>
      <c r="G119" s="636"/>
      <c r="H119" s="635">
        <f>H84</f>
        <v>2017</v>
      </c>
      <c r="I119" s="637"/>
    </row>
    <row r="120" spans="1:9" s="42" customFormat="1" ht="11.25" customHeight="1">
      <c r="A120" s="132" t="s">
        <v>472</v>
      </c>
      <c r="B120" s="629"/>
      <c r="C120" s="630"/>
      <c r="D120" s="160"/>
      <c r="E120" s="160"/>
      <c r="F120" s="629"/>
      <c r="G120" s="630"/>
      <c r="H120" s="629"/>
      <c r="I120" s="630"/>
    </row>
    <row r="121" spans="1:9" s="42" customFormat="1" ht="11.25" customHeight="1">
      <c r="A121" s="133" t="s">
        <v>443</v>
      </c>
      <c r="B121" s="629"/>
      <c r="C121" s="630"/>
      <c r="D121" s="160"/>
      <c r="E121" s="160"/>
      <c r="F121" s="629"/>
      <c r="G121" s="630"/>
      <c r="H121" s="629"/>
      <c r="I121" s="630"/>
    </row>
    <row r="122" spans="1:9" s="42" customFormat="1" ht="11.25" customHeight="1">
      <c r="A122" s="133" t="s">
        <v>444</v>
      </c>
      <c r="B122" s="629"/>
      <c r="C122" s="630"/>
      <c r="D122" s="160"/>
      <c r="E122" s="160"/>
      <c r="F122" s="629"/>
      <c r="G122" s="630"/>
      <c r="H122" s="629"/>
      <c r="I122" s="630"/>
    </row>
    <row r="123" spans="1:9" s="42" customFormat="1" ht="11.25" customHeight="1">
      <c r="A123" s="134" t="s">
        <v>473</v>
      </c>
      <c r="B123" s="629"/>
      <c r="C123" s="630"/>
      <c r="D123" s="160"/>
      <c r="E123" s="160"/>
      <c r="F123" s="629"/>
      <c r="G123" s="630"/>
      <c r="H123" s="629"/>
      <c r="I123" s="630"/>
    </row>
    <row r="124" spans="1:9" s="42" customFormat="1" ht="11.25" customHeight="1">
      <c r="A124" s="125" t="s">
        <v>446</v>
      </c>
      <c r="B124" s="629"/>
      <c r="C124" s="630"/>
      <c r="D124" s="160"/>
      <c r="E124" s="160"/>
      <c r="F124" s="629"/>
      <c r="G124" s="630"/>
      <c r="H124" s="629"/>
      <c r="I124" s="630"/>
    </row>
    <row r="125" spans="1:9" s="42" customFormat="1" ht="11.25" customHeight="1">
      <c r="A125" s="135" t="s">
        <v>474</v>
      </c>
      <c r="B125" s="629"/>
      <c r="C125" s="630"/>
      <c r="D125" s="160"/>
      <c r="E125" s="160"/>
      <c r="F125" s="629"/>
      <c r="G125" s="630"/>
      <c r="H125" s="629"/>
      <c r="I125" s="630"/>
    </row>
    <row r="126" spans="1:9" s="42" customFormat="1" ht="11.25" customHeight="1">
      <c r="A126" s="135" t="s">
        <v>448</v>
      </c>
      <c r="B126" s="629"/>
      <c r="C126" s="630"/>
      <c r="D126" s="160"/>
      <c r="E126" s="160"/>
      <c r="F126" s="629"/>
      <c r="G126" s="630"/>
      <c r="H126" s="629"/>
      <c r="I126" s="630"/>
    </row>
    <row r="127" spans="1:9" s="42" customFormat="1" ht="11.25" customHeight="1">
      <c r="A127" s="135" t="s">
        <v>449</v>
      </c>
      <c r="B127" s="629"/>
      <c r="C127" s="630"/>
      <c r="D127" s="160"/>
      <c r="E127" s="160"/>
      <c r="F127" s="629"/>
      <c r="G127" s="630"/>
      <c r="H127" s="629"/>
      <c r="I127" s="630"/>
    </row>
    <row r="128" spans="1:9" s="42" customFormat="1" ht="11.25" customHeight="1">
      <c r="A128" s="125" t="s">
        <v>450</v>
      </c>
      <c r="B128" s="629"/>
      <c r="C128" s="630"/>
      <c r="D128" s="160"/>
      <c r="E128" s="160"/>
      <c r="F128" s="629"/>
      <c r="G128" s="630"/>
      <c r="H128" s="629"/>
      <c r="I128" s="630"/>
    </row>
    <row r="129" spans="1:9" s="42" customFormat="1" ht="11.25" customHeight="1">
      <c r="A129" s="135" t="s">
        <v>451</v>
      </c>
      <c r="B129" s="629"/>
      <c r="C129" s="630"/>
      <c r="D129" s="160"/>
      <c r="E129" s="160"/>
      <c r="F129" s="629"/>
      <c r="G129" s="630"/>
      <c r="H129" s="629"/>
      <c r="I129" s="630"/>
    </row>
    <row r="130" spans="1:9" s="42" customFormat="1" ht="11.25" customHeight="1">
      <c r="A130" s="135" t="s">
        <v>448</v>
      </c>
      <c r="B130" s="629"/>
      <c r="C130" s="630"/>
      <c r="D130" s="160"/>
      <c r="E130" s="160"/>
      <c r="F130" s="629"/>
      <c r="G130" s="630"/>
      <c r="H130" s="629"/>
      <c r="I130" s="630"/>
    </row>
    <row r="131" spans="1:9" s="42" customFormat="1" ht="11.25" customHeight="1">
      <c r="A131" s="135" t="s">
        <v>449</v>
      </c>
      <c r="B131" s="629"/>
      <c r="C131" s="630"/>
      <c r="D131" s="160"/>
      <c r="E131" s="160"/>
      <c r="F131" s="629"/>
      <c r="G131" s="630"/>
      <c r="H131" s="629"/>
      <c r="I131" s="630"/>
    </row>
    <row r="132" spans="1:9" s="42" customFormat="1" ht="11.25" customHeight="1">
      <c r="A132" s="133" t="s">
        <v>452</v>
      </c>
      <c r="B132" s="629"/>
      <c r="C132" s="630"/>
      <c r="D132" s="160"/>
      <c r="E132" s="160"/>
      <c r="F132" s="629"/>
      <c r="G132" s="630"/>
      <c r="H132" s="629"/>
      <c r="I132" s="630"/>
    </row>
    <row r="133" spans="1:9" s="42" customFormat="1" ht="11.25" customHeight="1">
      <c r="A133" s="135" t="s">
        <v>453</v>
      </c>
      <c r="B133" s="629"/>
      <c r="C133" s="630"/>
      <c r="D133" s="160"/>
      <c r="E133" s="160"/>
      <c r="F133" s="629"/>
      <c r="G133" s="630"/>
      <c r="H133" s="629"/>
      <c r="I133" s="630"/>
    </row>
    <row r="134" spans="1:9" s="42" customFormat="1" ht="11.25" customHeight="1">
      <c r="A134" s="135" t="s">
        <v>454</v>
      </c>
      <c r="B134" s="629"/>
      <c r="C134" s="630"/>
      <c r="D134" s="160"/>
      <c r="E134" s="160"/>
      <c r="F134" s="629"/>
      <c r="G134" s="630"/>
      <c r="H134" s="629"/>
      <c r="I134" s="630"/>
    </row>
    <row r="135" spans="1:9" s="42" customFormat="1" ht="11.25" customHeight="1">
      <c r="A135" s="192" t="s">
        <v>475</v>
      </c>
      <c r="B135" s="646"/>
      <c r="C135" s="663"/>
      <c r="D135" s="663"/>
      <c r="E135" s="664"/>
      <c r="F135" s="560"/>
      <c r="G135" s="562"/>
      <c r="H135" s="665"/>
      <c r="I135" s="666"/>
    </row>
    <row r="136" spans="1:9" s="42" customFormat="1" ht="11.25" customHeight="1">
      <c r="A136" s="136"/>
      <c r="B136" s="137"/>
      <c r="C136" s="137"/>
      <c r="D136" s="138"/>
      <c r="E136" s="138"/>
      <c r="F136" s="138"/>
      <c r="G136" s="84"/>
      <c r="H136" s="84"/>
      <c r="I136" s="84"/>
    </row>
    <row r="137" spans="1:9" s="42" customFormat="1" ht="11.25" customHeight="1">
      <c r="A137" s="196" t="s">
        <v>476</v>
      </c>
      <c r="B137" s="660"/>
      <c r="C137" s="661"/>
      <c r="D137" s="661"/>
      <c r="E137" s="662"/>
      <c r="F137" s="543"/>
      <c r="G137" s="545"/>
      <c r="H137" s="543"/>
      <c r="I137" s="544"/>
    </row>
    <row r="138" spans="1:6" s="42" customFormat="1" ht="11.25" customHeight="1">
      <c r="A138" s="84"/>
      <c r="B138" s="143"/>
      <c r="C138" s="144"/>
      <c r="D138" s="144"/>
      <c r="E138" s="144"/>
      <c r="F138" s="144"/>
    </row>
    <row r="139" spans="1:9" s="42" customFormat="1" ht="11.25" customHeight="1">
      <c r="A139" s="197" t="s">
        <v>477</v>
      </c>
      <c r="B139" s="642">
        <f>B119</f>
        <v>2019</v>
      </c>
      <c r="C139" s="644"/>
      <c r="D139" s="644"/>
      <c r="E139" s="643"/>
      <c r="F139" s="642">
        <f>F119</f>
        <v>2018</v>
      </c>
      <c r="G139" s="643"/>
      <c r="H139" s="642">
        <f>H119</f>
        <v>2017</v>
      </c>
      <c r="I139" s="644"/>
    </row>
    <row r="140" spans="1:9" s="42" customFormat="1" ht="11.25" customHeight="1">
      <c r="A140" s="200" t="s">
        <v>478</v>
      </c>
      <c r="B140" s="629"/>
      <c r="C140" s="630"/>
      <c r="D140" s="202"/>
      <c r="E140" s="84"/>
      <c r="F140" s="629"/>
      <c r="G140" s="630"/>
      <c r="H140" s="629"/>
      <c r="I140" s="630"/>
    </row>
    <row r="141" spans="1:9" s="42" customFormat="1" ht="11.25" customHeight="1">
      <c r="A141" s="219" t="s">
        <v>479</v>
      </c>
      <c r="B141" s="629"/>
      <c r="C141" s="630"/>
      <c r="D141" s="205"/>
      <c r="E141" s="145"/>
      <c r="F141" s="629"/>
      <c r="G141" s="630"/>
      <c r="H141" s="629"/>
      <c r="I141" s="630"/>
    </row>
    <row r="142" spans="1:9" s="42" customFormat="1" ht="11.25" customHeight="1" thickBot="1">
      <c r="A142" s="220"/>
      <c r="B142" s="221"/>
      <c r="C142" s="221"/>
      <c r="D142" s="222"/>
      <c r="E142" s="148"/>
      <c r="F142" s="222"/>
      <c r="G142" s="148"/>
      <c r="H142" s="222"/>
      <c r="I142" s="148"/>
    </row>
    <row r="143" spans="1:9" s="42" customFormat="1" ht="11.25" customHeight="1" thickBot="1">
      <c r="A143" s="658" t="s">
        <v>480</v>
      </c>
      <c r="B143" s="658"/>
      <c r="C143" s="658"/>
      <c r="D143" s="658"/>
      <c r="E143" s="658"/>
      <c r="F143" s="658"/>
      <c r="G143" s="658"/>
      <c r="H143" s="658"/>
      <c r="I143" s="658"/>
    </row>
    <row r="144" spans="1:9" s="42" customFormat="1" ht="11.25" customHeight="1">
      <c r="A144" s="669"/>
      <c r="B144" s="670"/>
      <c r="C144" s="670"/>
      <c r="D144" s="670"/>
      <c r="E144" s="670"/>
      <c r="F144" s="670"/>
      <c r="G144" s="670"/>
      <c r="H144" s="670"/>
      <c r="I144" s="670"/>
    </row>
    <row r="145" spans="1:9" s="42" customFormat="1" ht="11.25" customHeight="1">
      <c r="A145" s="223" t="s">
        <v>102</v>
      </c>
      <c r="B145" s="224" t="s">
        <v>483</v>
      </c>
      <c r="C145" s="635" t="s">
        <v>484</v>
      </c>
      <c r="D145" s="644"/>
      <c r="E145" s="643"/>
      <c r="F145" s="635" t="s">
        <v>485</v>
      </c>
      <c r="G145" s="636"/>
      <c r="H145" s="635" t="s">
        <v>486</v>
      </c>
      <c r="I145" s="637"/>
    </row>
    <row r="146" spans="1:9" s="42" customFormat="1" ht="11.25" customHeight="1">
      <c r="A146" s="652"/>
      <c r="B146" s="153"/>
      <c r="C146" s="153"/>
      <c r="D146" s="153"/>
      <c r="E146" s="154"/>
      <c r="F146" s="606"/>
      <c r="G146" s="630"/>
      <c r="H146" s="606"/>
      <c r="I146" s="630"/>
    </row>
    <row r="147" spans="1:9" s="42" customFormat="1" ht="11.25" customHeight="1">
      <c r="A147" s="653"/>
      <c r="B147" s="155"/>
      <c r="C147" s="155"/>
      <c r="D147" s="155"/>
      <c r="E147" s="155"/>
      <c r="F147" s="606"/>
      <c r="G147" s="630"/>
      <c r="H147" s="606"/>
      <c r="I147" s="630"/>
    </row>
    <row r="148" spans="1:9" s="42" customFormat="1" ht="11.25" customHeight="1">
      <c r="A148" s="653"/>
      <c r="B148" s="156"/>
      <c r="C148" s="156"/>
      <c r="D148" s="155"/>
      <c r="E148" s="155"/>
      <c r="F148" s="606"/>
      <c r="G148" s="630"/>
      <c r="H148" s="606"/>
      <c r="I148" s="630"/>
    </row>
    <row r="149" spans="1:9" s="42" customFormat="1" ht="11.25" customHeight="1">
      <c r="A149" s="653"/>
      <c r="B149" s="156"/>
      <c r="C149" s="156"/>
      <c r="D149" s="155"/>
      <c r="E149" s="155"/>
      <c r="F149" s="606"/>
      <c r="G149" s="630"/>
      <c r="H149" s="606"/>
      <c r="I149" s="630"/>
    </row>
    <row r="150" spans="1:9" s="42" customFormat="1" ht="11.25" customHeight="1">
      <c r="A150" s="653"/>
      <c r="B150" s="156"/>
      <c r="C150" s="156"/>
      <c r="D150" s="155"/>
      <c r="E150" s="155"/>
      <c r="F150" s="606"/>
      <c r="G150" s="630"/>
      <c r="H150" s="606"/>
      <c r="I150" s="630"/>
    </row>
    <row r="151" spans="1:9" s="42" customFormat="1" ht="11.25" customHeight="1">
      <c r="A151" s="653"/>
      <c r="B151" s="156"/>
      <c r="C151" s="156"/>
      <c r="D151" s="155"/>
      <c r="E151" s="155"/>
      <c r="F151" s="606"/>
      <c r="G151" s="630"/>
      <c r="H151" s="606"/>
      <c r="I151" s="630"/>
    </row>
    <row r="152" spans="1:9" s="42" customFormat="1" ht="11.25" customHeight="1">
      <c r="A152" s="653"/>
      <c r="B152" s="156"/>
      <c r="C152" s="156"/>
      <c r="D152" s="155"/>
      <c r="E152" s="155"/>
      <c r="F152" s="606"/>
      <c r="G152" s="630"/>
      <c r="H152" s="606"/>
      <c r="I152" s="630"/>
    </row>
    <row r="153" spans="1:9" s="42" customFormat="1" ht="11.25" customHeight="1">
      <c r="A153" s="654"/>
      <c r="B153" s="201"/>
      <c r="C153" s="201"/>
      <c r="D153" s="225"/>
      <c r="E153" s="157"/>
      <c r="F153" s="606"/>
      <c r="G153" s="630"/>
      <c r="H153" s="606"/>
      <c r="I153" s="630"/>
    </row>
    <row r="154" spans="1:9" ht="11.25" customHeight="1">
      <c r="A154" s="651" t="s">
        <v>481</v>
      </c>
      <c r="B154" s="651"/>
      <c r="C154" s="651"/>
      <c r="D154" s="651"/>
      <c r="E154" s="651"/>
      <c r="F154" s="651"/>
      <c r="G154" s="651"/>
      <c r="H154" s="651"/>
      <c r="I154" s="651"/>
    </row>
    <row r="155" spans="8:9" ht="11.25" customHeight="1">
      <c r="H155" s="303"/>
      <c r="I155" s="303"/>
    </row>
    <row r="156" spans="8:9" ht="11.25" customHeight="1">
      <c r="H156" s="303"/>
      <c r="I156" s="303"/>
    </row>
    <row r="188" spans="8:9" ht="11.25" customHeight="1">
      <c r="H188" s="303"/>
      <c r="I188" s="303"/>
    </row>
    <row r="189" spans="8:9" ht="11.25" customHeight="1">
      <c r="H189" s="303"/>
      <c r="I189" s="303"/>
    </row>
    <row r="199" spans="8:9" ht="11.25" customHeight="1">
      <c r="H199" s="303"/>
      <c r="I199" s="303"/>
    </row>
  </sheetData>
  <sheetProtection/>
  <mergeCells count="387">
    <mergeCell ref="B29:C29"/>
    <mergeCell ref="B30:C30"/>
    <mergeCell ref="B31:C31"/>
    <mergeCell ref="B32:C32"/>
    <mergeCell ref="B33:C33"/>
    <mergeCell ref="H153:I153"/>
    <mergeCell ref="H146:I146"/>
    <mergeCell ref="H147:I147"/>
    <mergeCell ref="H148:I148"/>
    <mergeCell ref="H149:I149"/>
    <mergeCell ref="B35:C35"/>
    <mergeCell ref="B37:C37"/>
    <mergeCell ref="B38:C38"/>
    <mergeCell ref="H151:I151"/>
    <mergeCell ref="B11:C11"/>
    <mergeCell ref="B12:C12"/>
    <mergeCell ref="B13:C13"/>
    <mergeCell ref="B72:E72"/>
    <mergeCell ref="B18:C18"/>
    <mergeCell ref="B19:C19"/>
    <mergeCell ref="B16:C16"/>
    <mergeCell ref="B17:C17"/>
    <mergeCell ref="B24:C24"/>
    <mergeCell ref="F145:G145"/>
    <mergeCell ref="B62:E62"/>
    <mergeCell ref="B36:C36"/>
    <mergeCell ref="B22:C22"/>
    <mergeCell ref="A143:I143"/>
    <mergeCell ref="A144:I144"/>
    <mergeCell ref="F31:G31"/>
    <mergeCell ref="A6:G6"/>
    <mergeCell ref="H150:I150"/>
    <mergeCell ref="B25:C25"/>
    <mergeCell ref="B26:C26"/>
    <mergeCell ref="B27:C27"/>
    <mergeCell ref="B28:C28"/>
    <mergeCell ref="B20:C20"/>
    <mergeCell ref="B21:C21"/>
    <mergeCell ref="B14:C14"/>
    <mergeCell ref="B15:C15"/>
    <mergeCell ref="F20:G20"/>
    <mergeCell ref="B34:C34"/>
    <mergeCell ref="B23:C23"/>
    <mergeCell ref="B64:E64"/>
    <mergeCell ref="F64:G64"/>
    <mergeCell ref="F46:G46"/>
    <mergeCell ref="B53:C53"/>
    <mergeCell ref="B39:C39"/>
    <mergeCell ref="B40:C40"/>
    <mergeCell ref="B41:C41"/>
    <mergeCell ref="B42:C42"/>
    <mergeCell ref="B50:C50"/>
    <mergeCell ref="B51:C51"/>
    <mergeCell ref="B135:E135"/>
    <mergeCell ref="F135:G135"/>
    <mergeCell ref="H135:I135"/>
    <mergeCell ref="H66:I66"/>
    <mergeCell ref="F76:G76"/>
    <mergeCell ref="B54:C54"/>
    <mergeCell ref="H84:I84"/>
    <mergeCell ref="H145:I145"/>
    <mergeCell ref="B137:E137"/>
    <mergeCell ref="F137:G137"/>
    <mergeCell ref="B140:C140"/>
    <mergeCell ref="B141:C141"/>
    <mergeCell ref="F141:G141"/>
    <mergeCell ref="F140:G140"/>
    <mergeCell ref="H141:I141"/>
    <mergeCell ref="H140:I140"/>
    <mergeCell ref="H7:I7"/>
    <mergeCell ref="A8:I8"/>
    <mergeCell ref="A9:I9"/>
    <mergeCell ref="B10:E10"/>
    <mergeCell ref="F10:G10"/>
    <mergeCell ref="H10:I10"/>
    <mergeCell ref="A7:G7"/>
    <mergeCell ref="H80:I80"/>
    <mergeCell ref="H81:I81"/>
    <mergeCell ref="B96:C96"/>
    <mergeCell ref="B52:C52"/>
    <mergeCell ref="F50:G50"/>
    <mergeCell ref="F51:G51"/>
    <mergeCell ref="F52:G52"/>
    <mergeCell ref="H78:I78"/>
    <mergeCell ref="B66:E66"/>
    <mergeCell ref="B76:C76"/>
    <mergeCell ref="B78:E78"/>
    <mergeCell ref="F78:G78"/>
    <mergeCell ref="B84:E84"/>
    <mergeCell ref="B123:C123"/>
    <mergeCell ref="B124:C124"/>
    <mergeCell ref="A83:I83"/>
    <mergeCell ref="F80:G80"/>
    <mergeCell ref="F81:G81"/>
    <mergeCell ref="B80:C80"/>
    <mergeCell ref="B94:C94"/>
    <mergeCell ref="B95:C95"/>
    <mergeCell ref="B115:C115"/>
    <mergeCell ref="B104:C104"/>
    <mergeCell ref="F79:G79"/>
    <mergeCell ref="B81:C81"/>
    <mergeCell ref="F84:G84"/>
    <mergeCell ref="B97:C97"/>
    <mergeCell ref="B85:C85"/>
    <mergeCell ref="B86:C86"/>
    <mergeCell ref="B87:C87"/>
    <mergeCell ref="F149:G149"/>
    <mergeCell ref="F152:G152"/>
    <mergeCell ref="F153:G153"/>
    <mergeCell ref="F150:G150"/>
    <mergeCell ref="H152:I152"/>
    <mergeCell ref="B139:E139"/>
    <mergeCell ref="F139:G139"/>
    <mergeCell ref="H139:I139"/>
    <mergeCell ref="F151:G151"/>
    <mergeCell ref="C145:E145"/>
    <mergeCell ref="F22:G22"/>
    <mergeCell ref="F23:G23"/>
    <mergeCell ref="F26:G26"/>
    <mergeCell ref="F27:G27"/>
    <mergeCell ref="F15:G15"/>
    <mergeCell ref="A154:I154"/>
    <mergeCell ref="A146:A153"/>
    <mergeCell ref="F146:G146"/>
    <mergeCell ref="F147:G147"/>
    <mergeCell ref="F148:G148"/>
    <mergeCell ref="F38:G38"/>
    <mergeCell ref="F28:G28"/>
    <mergeCell ref="F29:G29"/>
    <mergeCell ref="F30:G30"/>
    <mergeCell ref="F16:G16"/>
    <mergeCell ref="F17:G17"/>
    <mergeCell ref="F18:G18"/>
    <mergeCell ref="F19:G19"/>
    <mergeCell ref="F24:G24"/>
    <mergeCell ref="F25:G25"/>
    <mergeCell ref="F32:G32"/>
    <mergeCell ref="F33:G33"/>
    <mergeCell ref="F34:G34"/>
    <mergeCell ref="F35:G35"/>
    <mergeCell ref="F36:G36"/>
    <mergeCell ref="F11:G11"/>
    <mergeCell ref="F12:G12"/>
    <mergeCell ref="F13:G13"/>
    <mergeCell ref="F14:G14"/>
    <mergeCell ref="F21:G21"/>
    <mergeCell ref="H15:I15"/>
    <mergeCell ref="H16:I16"/>
    <mergeCell ref="H17:I17"/>
    <mergeCell ref="H18:I18"/>
    <mergeCell ref="H11:I11"/>
    <mergeCell ref="H12:I12"/>
    <mergeCell ref="H13:I13"/>
    <mergeCell ref="H14:I14"/>
    <mergeCell ref="H23:I23"/>
    <mergeCell ref="H24:I24"/>
    <mergeCell ref="H25:I25"/>
    <mergeCell ref="H26:I26"/>
    <mergeCell ref="H19:I19"/>
    <mergeCell ref="H20:I20"/>
    <mergeCell ref="H21:I21"/>
    <mergeCell ref="H22:I22"/>
    <mergeCell ref="H31:I31"/>
    <mergeCell ref="H32:I32"/>
    <mergeCell ref="H33:I33"/>
    <mergeCell ref="H34:I34"/>
    <mergeCell ref="H27:I27"/>
    <mergeCell ref="H28:I28"/>
    <mergeCell ref="H29:I29"/>
    <mergeCell ref="H30:I30"/>
    <mergeCell ref="F58:G58"/>
    <mergeCell ref="F54:G54"/>
    <mergeCell ref="H35:I35"/>
    <mergeCell ref="H36:I36"/>
    <mergeCell ref="H37:I37"/>
    <mergeCell ref="H38:I38"/>
    <mergeCell ref="F53:G53"/>
    <mergeCell ref="H39:I39"/>
    <mergeCell ref="F39:G39"/>
    <mergeCell ref="F37:G37"/>
    <mergeCell ref="H40:I40"/>
    <mergeCell ref="F47:G47"/>
    <mergeCell ref="F40:G40"/>
    <mergeCell ref="F41:G41"/>
    <mergeCell ref="F42:G42"/>
    <mergeCell ref="F43:G43"/>
    <mergeCell ref="H46:I46"/>
    <mergeCell ref="H47:I47"/>
    <mergeCell ref="H51:I51"/>
    <mergeCell ref="H41:I41"/>
    <mergeCell ref="H42:I42"/>
    <mergeCell ref="H43:I43"/>
    <mergeCell ref="B47:C47"/>
    <mergeCell ref="B43:C43"/>
    <mergeCell ref="B48:C48"/>
    <mergeCell ref="B49:C49"/>
    <mergeCell ref="B46:E46"/>
    <mergeCell ref="F48:G48"/>
    <mergeCell ref="F49:G49"/>
    <mergeCell ref="H55:I55"/>
    <mergeCell ref="F55:G55"/>
    <mergeCell ref="F59:G59"/>
    <mergeCell ref="F60:G60"/>
    <mergeCell ref="H60:I60"/>
    <mergeCell ref="F56:G56"/>
    <mergeCell ref="F57:G57"/>
    <mergeCell ref="H56:I56"/>
    <mergeCell ref="H57:I57"/>
    <mergeCell ref="H58:I58"/>
    <mergeCell ref="B60:C60"/>
    <mergeCell ref="B59:C59"/>
    <mergeCell ref="B57:C57"/>
    <mergeCell ref="B58:C58"/>
    <mergeCell ref="H52:I52"/>
    <mergeCell ref="H53:I53"/>
    <mergeCell ref="H54:I54"/>
    <mergeCell ref="B55:C55"/>
    <mergeCell ref="B56:C56"/>
    <mergeCell ref="H48:I48"/>
    <mergeCell ref="H49:I49"/>
    <mergeCell ref="H50:I50"/>
    <mergeCell ref="H59:I59"/>
    <mergeCell ref="B70:C70"/>
    <mergeCell ref="F70:G70"/>
    <mergeCell ref="H70:I70"/>
    <mergeCell ref="B67:I67"/>
    <mergeCell ref="B69:E69"/>
    <mergeCell ref="H61:I61"/>
    <mergeCell ref="F61:G61"/>
    <mergeCell ref="B61:C61"/>
    <mergeCell ref="F69:G69"/>
    <mergeCell ref="F72:G72"/>
    <mergeCell ref="H72:I72"/>
    <mergeCell ref="B73:C73"/>
    <mergeCell ref="H73:I73"/>
    <mergeCell ref="H69:I69"/>
    <mergeCell ref="H64:I64"/>
    <mergeCell ref="F66:G66"/>
    <mergeCell ref="H76:I76"/>
    <mergeCell ref="B79:C79"/>
    <mergeCell ref="B75:C75"/>
    <mergeCell ref="B74:C74"/>
    <mergeCell ref="F73:G73"/>
    <mergeCell ref="F74:G74"/>
    <mergeCell ref="H79:I79"/>
    <mergeCell ref="H74:I74"/>
    <mergeCell ref="H75:I75"/>
    <mergeCell ref="F75:G75"/>
    <mergeCell ref="B88:C88"/>
    <mergeCell ref="B89:C89"/>
    <mergeCell ref="B90:C90"/>
    <mergeCell ref="B91:C91"/>
    <mergeCell ref="B92:C92"/>
    <mergeCell ref="B93:C93"/>
    <mergeCell ref="B114:C114"/>
    <mergeCell ref="B101:C101"/>
    <mergeCell ref="B110:C110"/>
    <mergeCell ref="B112:C112"/>
    <mergeCell ref="B105:C105"/>
    <mergeCell ref="B106:C106"/>
    <mergeCell ref="B107:C107"/>
    <mergeCell ref="B108:C108"/>
    <mergeCell ref="B98:C98"/>
    <mergeCell ref="B109:C109"/>
    <mergeCell ref="B113:C113"/>
    <mergeCell ref="B103:C103"/>
    <mergeCell ref="F99:G99"/>
    <mergeCell ref="F102:G102"/>
    <mergeCell ref="F103:G103"/>
    <mergeCell ref="B99:C99"/>
    <mergeCell ref="B111:C111"/>
    <mergeCell ref="F100:G100"/>
    <mergeCell ref="F101:G101"/>
    <mergeCell ref="F105:G105"/>
    <mergeCell ref="F106:G106"/>
    <mergeCell ref="B100:C100"/>
    <mergeCell ref="F108:G108"/>
    <mergeCell ref="B102:C102"/>
    <mergeCell ref="F104:G104"/>
    <mergeCell ref="F107:G107"/>
    <mergeCell ref="F85:G85"/>
    <mergeCell ref="F86:G86"/>
    <mergeCell ref="F87:G87"/>
    <mergeCell ref="F88:G88"/>
    <mergeCell ref="F96:G96"/>
    <mergeCell ref="F97:G97"/>
    <mergeCell ref="F98:G98"/>
    <mergeCell ref="F89:G89"/>
    <mergeCell ref="F90:G90"/>
    <mergeCell ref="F94:G94"/>
    <mergeCell ref="F95:G95"/>
    <mergeCell ref="F91:G91"/>
    <mergeCell ref="F92:G92"/>
    <mergeCell ref="F93:G93"/>
    <mergeCell ref="F114:G114"/>
    <mergeCell ref="F115:G115"/>
    <mergeCell ref="F116:G116"/>
    <mergeCell ref="F109:G109"/>
    <mergeCell ref="F110:G110"/>
    <mergeCell ref="F111:G111"/>
    <mergeCell ref="F112:G112"/>
    <mergeCell ref="F113:G113"/>
    <mergeCell ref="H89:I89"/>
    <mergeCell ref="H90:I90"/>
    <mergeCell ref="H91:I91"/>
    <mergeCell ref="H92:I92"/>
    <mergeCell ref="H85:I85"/>
    <mergeCell ref="H86:I86"/>
    <mergeCell ref="H87:I87"/>
    <mergeCell ref="H88:I88"/>
    <mergeCell ref="H97:I97"/>
    <mergeCell ref="H98:I98"/>
    <mergeCell ref="H99:I99"/>
    <mergeCell ref="H100:I100"/>
    <mergeCell ref="H93:I93"/>
    <mergeCell ref="H94:I94"/>
    <mergeCell ref="H95:I95"/>
    <mergeCell ref="H96:I96"/>
    <mergeCell ref="H116:I116"/>
    <mergeCell ref="H120:I12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21:I121"/>
    <mergeCell ref="H122:I122"/>
    <mergeCell ref="H123:I123"/>
    <mergeCell ref="H109:I109"/>
    <mergeCell ref="H110:I110"/>
    <mergeCell ref="H111:I111"/>
    <mergeCell ref="H112:I112"/>
    <mergeCell ref="H113:I113"/>
    <mergeCell ref="H114:I114"/>
    <mergeCell ref="H115:I115"/>
    <mergeCell ref="B116:C116"/>
    <mergeCell ref="B119:D119"/>
    <mergeCell ref="B129:C129"/>
    <mergeCell ref="B125:C125"/>
    <mergeCell ref="B126:C126"/>
    <mergeCell ref="B127:C127"/>
    <mergeCell ref="B128:C128"/>
    <mergeCell ref="B120:C120"/>
    <mergeCell ref="B121:C121"/>
    <mergeCell ref="B122:C122"/>
    <mergeCell ref="F133:G133"/>
    <mergeCell ref="F134:G134"/>
    <mergeCell ref="F119:G119"/>
    <mergeCell ref="H119:I119"/>
    <mergeCell ref="B130:C130"/>
    <mergeCell ref="B131:C131"/>
    <mergeCell ref="F127:G127"/>
    <mergeCell ref="F128:G128"/>
    <mergeCell ref="F129:G129"/>
    <mergeCell ref="F130:G130"/>
    <mergeCell ref="F126:G126"/>
    <mergeCell ref="B132:C132"/>
    <mergeCell ref="H132:I132"/>
    <mergeCell ref="B133:C133"/>
    <mergeCell ref="B134:C134"/>
    <mergeCell ref="F120:G120"/>
    <mergeCell ref="F121:G121"/>
    <mergeCell ref="F122:G122"/>
    <mergeCell ref="F123:G123"/>
    <mergeCell ref="F124:G124"/>
    <mergeCell ref="A1:I1"/>
    <mergeCell ref="A2:I2"/>
    <mergeCell ref="A3:I3"/>
    <mergeCell ref="A4:I4"/>
    <mergeCell ref="A5:I5"/>
    <mergeCell ref="F132:G132"/>
    <mergeCell ref="H127:I127"/>
    <mergeCell ref="H129:I129"/>
    <mergeCell ref="F131:G131"/>
    <mergeCell ref="F125:G125"/>
    <mergeCell ref="H124:I124"/>
    <mergeCell ref="H125:I125"/>
    <mergeCell ref="H126:I126"/>
    <mergeCell ref="H133:I133"/>
    <mergeCell ref="H134:I134"/>
    <mergeCell ref="H137:I137"/>
    <mergeCell ref="H128:I128"/>
    <mergeCell ref="H130:I130"/>
    <mergeCell ref="H131:I1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G26"/>
  <sheetViews>
    <sheetView tabSelected="1" zoomScale="90" zoomScaleNormal="90" zoomScalePageLayoutView="0" workbookViewId="0" topLeftCell="A38">
      <selection activeCell="A1" sqref="A1:G44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7" ht="12.75">
      <c r="A1" s="679" t="str">
        <f>Parâmetros!A7</f>
        <v>Município de : BARRA DO QUARAI</v>
      </c>
      <c r="B1" s="680"/>
      <c r="C1" s="680"/>
      <c r="D1" s="680"/>
      <c r="E1" s="680"/>
      <c r="F1" s="680"/>
      <c r="G1" s="680"/>
    </row>
    <row r="2" spans="1:7" ht="12.75">
      <c r="A2" s="681" t="s">
        <v>36</v>
      </c>
      <c r="B2" s="682"/>
      <c r="C2" s="682"/>
      <c r="D2" s="682"/>
      <c r="E2" s="682"/>
      <c r="F2" s="682"/>
      <c r="G2" s="682"/>
    </row>
    <row r="3" spans="1:7" ht="12.75">
      <c r="A3" s="676" t="str">
        <f>'Metas Cons'!A3:M3</f>
        <v>ANEXO DE METAS FISCAIS</v>
      </c>
      <c r="B3" s="677"/>
      <c r="C3" s="677"/>
      <c r="D3" s="677"/>
      <c r="E3" s="677"/>
      <c r="F3" s="678"/>
      <c r="G3" s="109"/>
    </row>
    <row r="4" spans="1:7" ht="12.75">
      <c r="A4" s="683" t="s">
        <v>505</v>
      </c>
      <c r="B4" s="684"/>
      <c r="C4" s="684"/>
      <c r="D4" s="684"/>
      <c r="E4" s="684"/>
      <c r="F4" s="684"/>
      <c r="G4" s="684"/>
    </row>
    <row r="5" spans="1:7" ht="12.75">
      <c r="A5" s="685" t="s">
        <v>662</v>
      </c>
      <c r="B5" s="686"/>
      <c r="C5" s="686"/>
      <c r="D5" s="686"/>
      <c r="E5" s="686"/>
      <c r="F5" s="686"/>
      <c r="G5" s="686"/>
    </row>
    <row r="6" spans="1:7" ht="12.75">
      <c r="A6" s="676"/>
      <c r="B6" s="677"/>
      <c r="C6" s="677"/>
      <c r="D6" s="677"/>
      <c r="E6" s="677"/>
      <c r="F6" s="678"/>
      <c r="G6" s="109"/>
    </row>
    <row r="7" spans="1:7" s="42" customFormat="1" ht="11.25" customHeight="1">
      <c r="A7" s="317" t="s">
        <v>508</v>
      </c>
      <c r="B7" s="304"/>
      <c r="C7" s="304"/>
      <c r="D7" s="304"/>
      <c r="E7" s="304"/>
      <c r="F7" s="305"/>
      <c r="G7" s="306">
        <v>1</v>
      </c>
    </row>
    <row r="8" spans="1:7" s="43" customFormat="1" ht="11.25" customHeight="1">
      <c r="A8" s="689" t="s">
        <v>157</v>
      </c>
      <c r="B8" s="692" t="s">
        <v>158</v>
      </c>
      <c r="C8" s="671" t="s">
        <v>159</v>
      </c>
      <c r="D8" s="692" t="s">
        <v>103</v>
      </c>
      <c r="E8" s="695"/>
      <c r="F8" s="689"/>
      <c r="G8" s="671" t="s">
        <v>104</v>
      </c>
    </row>
    <row r="9" spans="1:7" s="43" customFormat="1" ht="11.25" customHeight="1">
      <c r="A9" s="690"/>
      <c r="B9" s="693"/>
      <c r="C9" s="672"/>
      <c r="D9" s="694"/>
      <c r="E9" s="696"/>
      <c r="F9" s="691"/>
      <c r="G9" s="672"/>
    </row>
    <row r="10" spans="1:7" s="42" customFormat="1" ht="24" customHeight="1">
      <c r="A10" s="691"/>
      <c r="B10" s="694"/>
      <c r="C10" s="673"/>
      <c r="D10" s="307">
        <f>Parâmetros!E10</f>
        <v>2020</v>
      </c>
      <c r="E10" s="307">
        <f>D10+1</f>
        <v>2021</v>
      </c>
      <c r="F10" s="307">
        <f>E10+1</f>
        <v>2022</v>
      </c>
      <c r="G10" s="673"/>
    </row>
    <row r="11" spans="1:7" s="42" customFormat="1" ht="26.25" customHeight="1">
      <c r="A11" s="308"/>
      <c r="B11" s="308"/>
      <c r="C11" s="308"/>
      <c r="D11" s="309">
        <v>0</v>
      </c>
      <c r="E11" s="310">
        <f>D11*(1+B24)</f>
        <v>0</v>
      </c>
      <c r="F11" s="310">
        <f>E11*(1+B25)</f>
        <v>0</v>
      </c>
      <c r="G11" s="674" t="s">
        <v>161</v>
      </c>
    </row>
    <row r="12" spans="1:7" s="42" customFormat="1" ht="42" customHeight="1">
      <c r="A12" s="308"/>
      <c r="B12" s="308"/>
      <c r="C12" s="308"/>
      <c r="D12" s="309">
        <v>0</v>
      </c>
      <c r="E12" s="310">
        <f>D12*(1+B24)</f>
        <v>0</v>
      </c>
      <c r="F12" s="310">
        <f>E12*(1+B25)</f>
        <v>0</v>
      </c>
      <c r="G12" s="675"/>
    </row>
    <row r="13" spans="1:7" s="42" customFormat="1" ht="45.75" customHeight="1">
      <c r="A13" s="308"/>
      <c r="B13" s="308"/>
      <c r="C13" s="308"/>
      <c r="D13" s="309">
        <v>0</v>
      </c>
      <c r="E13" s="310">
        <f>D13*(1+B24)</f>
        <v>0</v>
      </c>
      <c r="F13" s="310">
        <f>E13*(1+B25)</f>
        <v>0</v>
      </c>
      <c r="G13" s="311" t="s">
        <v>162</v>
      </c>
    </row>
    <row r="14" spans="1:7" s="42" customFormat="1" ht="11.25" customHeight="1">
      <c r="A14" s="308"/>
      <c r="B14" s="308"/>
      <c r="C14" s="308"/>
      <c r="D14" s="309"/>
      <c r="E14" s="310">
        <f>D14*(1+B24)</f>
        <v>0</v>
      </c>
      <c r="F14" s="310">
        <f>E14*(1+B25)</f>
        <v>0</v>
      </c>
      <c r="G14" s="311"/>
    </row>
    <row r="15" spans="1:7" s="42" customFormat="1" ht="11.25" customHeight="1">
      <c r="A15" s="308"/>
      <c r="B15" s="308"/>
      <c r="C15" s="308"/>
      <c r="D15" s="309"/>
      <c r="E15" s="310">
        <f>D15*(1+B24)</f>
        <v>0</v>
      </c>
      <c r="F15" s="310">
        <f>E15*(1+B25)</f>
        <v>0</v>
      </c>
      <c r="G15" s="311"/>
    </row>
    <row r="16" spans="1:7" s="42" customFormat="1" ht="11.25" customHeight="1">
      <c r="A16" s="308"/>
      <c r="B16" s="308"/>
      <c r="C16" s="308"/>
      <c r="D16" s="309"/>
      <c r="E16" s="310">
        <f>D16*(1+B24)</f>
        <v>0</v>
      </c>
      <c r="F16" s="310">
        <f>E16*(1+B25)</f>
        <v>0</v>
      </c>
      <c r="G16" s="311"/>
    </row>
    <row r="17" spans="1:7" s="42" customFormat="1" ht="11.25" customHeight="1">
      <c r="A17" s="312"/>
      <c r="B17" s="312"/>
      <c r="C17" s="312"/>
      <c r="D17" s="313"/>
      <c r="E17" s="310">
        <f>D17*(1+B24)</f>
        <v>0</v>
      </c>
      <c r="F17" s="310">
        <f>E17*(1+B25)</f>
        <v>0</v>
      </c>
      <c r="G17" s="314"/>
    </row>
    <row r="18" spans="1:7" s="42" customFormat="1" ht="11.25" customHeight="1">
      <c r="A18" s="687" t="s">
        <v>89</v>
      </c>
      <c r="B18" s="687"/>
      <c r="C18" s="688"/>
      <c r="D18" s="315">
        <f>SUM(D11:D17)</f>
        <v>0</v>
      </c>
      <c r="E18" s="315">
        <f>SUM(E11:E17)</f>
        <v>0</v>
      </c>
      <c r="F18" s="315">
        <f>SUM(F11:F17)</f>
        <v>0</v>
      </c>
      <c r="G18" s="316" t="s">
        <v>160</v>
      </c>
    </row>
    <row r="19" spans="1:7" s="42" customFormat="1" ht="11.25" customHeight="1">
      <c r="A19" s="484" t="s">
        <v>219</v>
      </c>
      <c r="B19" s="46"/>
      <c r="C19" s="46"/>
      <c r="D19" s="46"/>
      <c r="E19" s="46"/>
      <c r="F19" s="46"/>
      <c r="G19" s="46"/>
    </row>
    <row r="20" spans="1:6" ht="12.75">
      <c r="A20" s="11" t="s">
        <v>621</v>
      </c>
      <c r="B20" s="45"/>
      <c r="C20" s="45"/>
      <c r="D20" s="45"/>
      <c r="E20" s="45"/>
      <c r="F20" s="45"/>
    </row>
    <row r="21" ht="12.75">
      <c r="A21" t="s">
        <v>142</v>
      </c>
    </row>
    <row r="22" ht="12.75">
      <c r="A22" s="11" t="s">
        <v>667</v>
      </c>
    </row>
    <row r="23" ht="12.75">
      <c r="A23" t="s">
        <v>145</v>
      </c>
    </row>
    <row r="24" spans="1:2" ht="12.75">
      <c r="A24" s="11" t="s">
        <v>419</v>
      </c>
      <c r="B24" s="39">
        <f>Parâmetros!F11</f>
        <v>0.04</v>
      </c>
    </row>
    <row r="25" spans="1:2" ht="12.75">
      <c r="A25" s="11" t="s">
        <v>622</v>
      </c>
      <c r="B25" s="39">
        <f>Parâmetros!G11</f>
        <v>0.041</v>
      </c>
    </row>
    <row r="26" ht="12.75">
      <c r="B26" s="39"/>
    </row>
  </sheetData>
  <sheetProtection/>
  <mergeCells count="13">
    <mergeCell ref="A18:C18"/>
    <mergeCell ref="A6:F6"/>
    <mergeCell ref="A8:A10"/>
    <mergeCell ref="B8:B10"/>
    <mergeCell ref="C8:C10"/>
    <mergeCell ref="D8:F9"/>
    <mergeCell ref="G8:G10"/>
    <mergeCell ref="G11:G12"/>
    <mergeCell ref="A3:F3"/>
    <mergeCell ref="A1:G1"/>
    <mergeCell ref="A2:G2"/>
    <mergeCell ref="A4:G4"/>
    <mergeCell ref="A5:G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/>
  <dimension ref="A1:B31"/>
  <sheetViews>
    <sheetView zoomScale="90" zoomScaleNormal="90" zoomScalePageLayoutView="0" workbookViewId="0" topLeftCell="A15">
      <selection activeCell="A1" sqref="A1:B48"/>
    </sheetView>
  </sheetViews>
  <sheetFormatPr defaultColWidth="9.140625" defaultRowHeight="12.75"/>
  <cols>
    <col min="1" max="1" width="55.57421875" style="11" customWidth="1"/>
    <col min="2" max="2" width="47.57421875" style="11" customWidth="1"/>
    <col min="3" max="16384" width="9.140625" style="11" customWidth="1"/>
  </cols>
  <sheetData>
    <row r="1" spans="1:2" ht="14.25">
      <c r="A1" s="697" t="str">
        <f>Parâmetros!A7</f>
        <v>Município de : BARRA DO QUARAI</v>
      </c>
      <c r="B1" s="698"/>
    </row>
    <row r="2" spans="1:2" ht="14.25">
      <c r="A2" s="699" t="s">
        <v>36</v>
      </c>
      <c r="B2" s="698"/>
    </row>
    <row r="3" spans="1:2" ht="14.25">
      <c r="A3" s="699" t="str">
        <f>'Metas Cons'!A3:M3</f>
        <v>ANEXO DE METAS FISCAIS</v>
      </c>
      <c r="B3" s="698"/>
    </row>
    <row r="4" spans="1:2" ht="15">
      <c r="A4" s="702" t="s">
        <v>506</v>
      </c>
      <c r="B4" s="703"/>
    </row>
    <row r="5" spans="1:2" ht="14.25">
      <c r="A5" s="699" t="s">
        <v>662</v>
      </c>
      <c r="B5" s="698"/>
    </row>
    <row r="6" spans="1:2" ht="14.25">
      <c r="A6" s="699"/>
      <c r="B6" s="698"/>
    </row>
    <row r="7" spans="1:2" ht="15">
      <c r="A7" s="318" t="s">
        <v>507</v>
      </c>
      <c r="B7" s="319">
        <v>1</v>
      </c>
    </row>
    <row r="8" spans="1:2" s="12" customFormat="1" ht="25.5" customHeight="1">
      <c r="A8" s="285" t="s">
        <v>105</v>
      </c>
      <c r="B8" s="296" t="s">
        <v>668</v>
      </c>
    </row>
    <row r="9" spans="1:2" ht="15">
      <c r="A9" s="320" t="s">
        <v>106</v>
      </c>
      <c r="B9" s="321">
        <f>(B10+B11)</f>
        <v>-565855.3987930068</v>
      </c>
    </row>
    <row r="10" spans="1:2" ht="14.25">
      <c r="A10" s="293" t="s">
        <v>138</v>
      </c>
      <c r="B10" s="295">
        <f>(Projeções!G9/(1+Parâmetros!E11))-(Projeções!F9*(1+Parâmetros!D11))</f>
        <v>128094.16425679764</v>
      </c>
    </row>
    <row r="11" spans="1:2" ht="14.25">
      <c r="A11" s="293" t="s">
        <v>139</v>
      </c>
      <c r="B11" s="295">
        <f>(Projeções!G39/(1+Parâmetros!E11))-(Projeções!F39*(1+Parâmetros!D11))</f>
        <v>-693949.5630498044</v>
      </c>
    </row>
    <row r="12" spans="1:2" ht="14.25">
      <c r="A12" s="293" t="s">
        <v>185</v>
      </c>
      <c r="B12" s="295">
        <v>0</v>
      </c>
    </row>
    <row r="13" spans="1:2" ht="14.25">
      <c r="A13" s="294" t="s">
        <v>147</v>
      </c>
      <c r="B13" s="295">
        <f>(Projeções!G101/(1+Parâmetros!E11)-(Projeções!F101*(1+Parâmetros!D11)))</f>
        <v>93982.00313256681</v>
      </c>
    </row>
    <row r="14" spans="1:2" ht="15">
      <c r="A14" s="322" t="s">
        <v>107</v>
      </c>
      <c r="B14" s="323">
        <f>B9+B13</f>
        <v>-471873.39566044</v>
      </c>
    </row>
    <row r="15" spans="1:2" ht="14.25">
      <c r="A15" s="294" t="s">
        <v>108</v>
      </c>
      <c r="B15" s="324">
        <v>0</v>
      </c>
    </row>
    <row r="16" spans="1:2" ht="15">
      <c r="A16" s="294" t="s">
        <v>109</v>
      </c>
      <c r="B16" s="323">
        <f>B14+B15</f>
        <v>-471873.39566044</v>
      </c>
    </row>
    <row r="17" spans="1:2" ht="14.25">
      <c r="A17" s="293" t="s">
        <v>110</v>
      </c>
      <c r="B17" s="295"/>
    </row>
    <row r="18" spans="1:2" ht="15">
      <c r="A18" s="322" t="s">
        <v>182</v>
      </c>
      <c r="B18" s="323">
        <f>B19+B20</f>
        <v>-1130953.2546569854</v>
      </c>
    </row>
    <row r="19" spans="1:2" ht="14.25">
      <c r="A19" s="294" t="s">
        <v>140</v>
      </c>
      <c r="B19" s="295">
        <f>Projeções!G114/(1+Parâmetros!E11)-(Projeções!F114*(1+Parâmetros!D11))</f>
        <v>790954.0254673995</v>
      </c>
    </row>
    <row r="20" spans="1:2" ht="14.25">
      <c r="A20" s="294" t="s">
        <v>141</v>
      </c>
      <c r="B20" s="295">
        <f>Projeções!G122/(1+Parâmetros!E11)-Projeções!F122*(1+Parâmetros!D11)</f>
        <v>-1921907.280124385</v>
      </c>
    </row>
    <row r="21" spans="1:2" ht="15">
      <c r="A21" s="322" t="s">
        <v>183</v>
      </c>
      <c r="B21" s="325">
        <v>0</v>
      </c>
    </row>
    <row r="22" spans="1:2" ht="21" customHeight="1">
      <c r="A22" s="322" t="s">
        <v>184</v>
      </c>
      <c r="B22" s="326">
        <f>IF(B16-B17-B18&lt;0,"SEM MARGEM",B16-B17-B18)</f>
        <v>659079.8589965454</v>
      </c>
    </row>
    <row r="23" spans="1:2" ht="15">
      <c r="A23" s="700" t="s">
        <v>217</v>
      </c>
      <c r="B23" s="701"/>
    </row>
    <row r="24" ht="12.75">
      <c r="A24" s="7"/>
    </row>
    <row r="25" spans="1:2" ht="12.75">
      <c r="A25" s="58"/>
      <c r="B25" s="58"/>
    </row>
    <row r="26" ht="12.75">
      <c r="A26" s="58"/>
    </row>
    <row r="27" ht="12.75">
      <c r="A27" s="58"/>
    </row>
    <row r="28" ht="12.75">
      <c r="A28" s="58"/>
    </row>
    <row r="29" ht="12.75">
      <c r="A29" s="58"/>
    </row>
    <row r="30" ht="12.75">
      <c r="A30" s="58"/>
    </row>
    <row r="31" ht="12.75">
      <c r="A31" s="58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C31" sqref="C31"/>
    </sheetView>
  </sheetViews>
  <sheetFormatPr defaultColWidth="9.140625" defaultRowHeight="12.75"/>
  <cols>
    <col min="1" max="1" width="49.140625" style="59" customWidth="1"/>
    <col min="2" max="2" width="44.7109375" style="59" customWidth="1"/>
    <col min="3" max="16384" width="9.140625" style="59" customWidth="1"/>
  </cols>
  <sheetData>
    <row r="1" spans="1:2" ht="14.25">
      <c r="A1" s="569" t="str">
        <f>Parâmetros!A7</f>
        <v>Município de : BARRA DO QUARAI</v>
      </c>
      <c r="B1" s="568"/>
    </row>
    <row r="2" spans="1:2" ht="14.25">
      <c r="A2" s="566" t="s">
        <v>36</v>
      </c>
      <c r="B2" s="568"/>
    </row>
    <row r="3" spans="1:2" ht="14.25">
      <c r="A3" s="566" t="str">
        <f>'Metas Cons'!A3:M3</f>
        <v>ANEXO DE METAS FISCAIS</v>
      </c>
      <c r="B3" s="568"/>
    </row>
    <row r="4" spans="1:2" ht="15">
      <c r="A4" s="570" t="s">
        <v>506</v>
      </c>
      <c r="B4" s="572"/>
    </row>
    <row r="5" spans="1:2" ht="14.25">
      <c r="A5" s="566" t="s">
        <v>662</v>
      </c>
      <c r="B5" s="568"/>
    </row>
    <row r="6" spans="1:2" ht="14.25">
      <c r="A6" s="566"/>
      <c r="B6" s="568"/>
    </row>
    <row r="7" spans="1:2" ht="28.5">
      <c r="A7" s="179" t="s">
        <v>507</v>
      </c>
      <c r="B7" s="183">
        <v>1</v>
      </c>
    </row>
    <row r="8" spans="1:2" s="60" customFormat="1" ht="25.5" customHeight="1">
      <c r="A8" s="184" t="s">
        <v>105</v>
      </c>
      <c r="B8" s="327" t="s">
        <v>668</v>
      </c>
    </row>
    <row r="9" spans="1:2" ht="15">
      <c r="A9" s="328" t="s">
        <v>106</v>
      </c>
      <c r="B9" s="329"/>
    </row>
    <row r="10" spans="1:2" ht="14.25">
      <c r="A10" s="330" t="s">
        <v>138</v>
      </c>
      <c r="B10" s="331"/>
    </row>
    <row r="11" spans="1:2" ht="14.25">
      <c r="A11" s="330" t="s">
        <v>139</v>
      </c>
      <c r="B11" s="331"/>
    </row>
    <row r="12" spans="1:2" ht="14.25">
      <c r="A12" s="332" t="s">
        <v>147</v>
      </c>
      <c r="B12" s="331"/>
    </row>
    <row r="13" spans="1:2" ht="30">
      <c r="A13" s="333" t="s">
        <v>107</v>
      </c>
      <c r="B13" s="334"/>
    </row>
    <row r="14" spans="1:2" ht="14.25">
      <c r="A14" s="332" t="s">
        <v>108</v>
      </c>
      <c r="B14" s="335"/>
    </row>
    <row r="15" spans="1:2" ht="15">
      <c r="A15" s="332" t="s">
        <v>109</v>
      </c>
      <c r="B15" s="334"/>
    </row>
    <row r="16" spans="1:2" ht="14.25">
      <c r="A16" s="330" t="s">
        <v>110</v>
      </c>
      <c r="B16" s="331"/>
    </row>
    <row r="17" spans="1:2" ht="15">
      <c r="A17" s="333" t="s">
        <v>111</v>
      </c>
      <c r="B17" s="334"/>
    </row>
    <row r="18" spans="1:2" ht="14.25">
      <c r="A18" s="332" t="s">
        <v>140</v>
      </c>
      <c r="B18" s="331"/>
    </row>
    <row r="19" spans="1:2" ht="14.25">
      <c r="A19" s="332" t="s">
        <v>141</v>
      </c>
      <c r="B19" s="331"/>
    </row>
    <row r="20" spans="1:2" ht="15">
      <c r="A20" s="333" t="s">
        <v>112</v>
      </c>
      <c r="B20" s="336">
        <f>IF(B15-B16-B17&lt;0,"SEM MARGEM",B15-B16-B17)</f>
        <v>0</v>
      </c>
    </row>
    <row r="21" spans="1:2" ht="11.25">
      <c r="A21" s="704" t="s">
        <v>123</v>
      </c>
      <c r="B21" s="705"/>
    </row>
    <row r="22" ht="11.25">
      <c r="A22" s="61"/>
    </row>
    <row r="23" spans="1:2" ht="11.25">
      <c r="A23" s="62"/>
      <c r="B23" s="62"/>
    </row>
    <row r="24" ht="11.25">
      <c r="A24" s="62"/>
    </row>
    <row r="25" ht="11.25">
      <c r="A25" s="62"/>
    </row>
    <row r="26" ht="11.25">
      <c r="A26" s="62"/>
    </row>
    <row r="27" ht="11.25">
      <c r="A27" s="62"/>
    </row>
    <row r="28" ht="11.25">
      <c r="A28" s="62"/>
    </row>
    <row r="29" ht="11.25">
      <c r="A29" s="62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8">
      <selection activeCell="A1" sqref="A1:D34"/>
    </sheetView>
  </sheetViews>
  <sheetFormatPr defaultColWidth="9.140625" defaultRowHeight="12.75"/>
  <cols>
    <col min="1" max="1" width="38.8515625" style="11" customWidth="1"/>
    <col min="2" max="2" width="15.7109375" style="11" customWidth="1"/>
    <col min="3" max="3" width="36.8515625" style="11" customWidth="1"/>
    <col min="4" max="4" width="15.7109375" style="11" customWidth="1"/>
    <col min="5" max="5" width="9.140625" style="11" customWidth="1"/>
  </cols>
  <sheetData>
    <row r="1" spans="1:4" ht="14.25">
      <c r="A1" s="708" t="str">
        <f>Parâmetros!A7</f>
        <v>Município de : BARRA DO QUARAI</v>
      </c>
      <c r="B1" s="706"/>
      <c r="C1" s="706"/>
      <c r="D1" s="706"/>
    </row>
    <row r="2" spans="1:4" ht="14.25">
      <c r="A2" s="706" t="s">
        <v>36</v>
      </c>
      <c r="B2" s="706"/>
      <c r="C2" s="706"/>
      <c r="D2" s="706"/>
    </row>
    <row r="3" spans="1:4" ht="14.25">
      <c r="A3" s="706" t="s">
        <v>164</v>
      </c>
      <c r="B3" s="706"/>
      <c r="C3" s="706"/>
      <c r="D3" s="706"/>
    </row>
    <row r="4" spans="1:4" ht="15">
      <c r="A4" s="709" t="s">
        <v>113</v>
      </c>
      <c r="B4" s="709"/>
      <c r="C4" s="709"/>
      <c r="D4" s="709"/>
    </row>
    <row r="5" spans="1:4" ht="14.25">
      <c r="A5" s="706" t="s">
        <v>662</v>
      </c>
      <c r="B5" s="706"/>
      <c r="C5" s="706"/>
      <c r="D5" s="706"/>
    </row>
    <row r="6" spans="1:4" ht="14.25">
      <c r="A6" s="707"/>
      <c r="B6" s="707"/>
      <c r="C6" s="707"/>
      <c r="D6" s="707"/>
    </row>
    <row r="7" spans="1:4" ht="14.25">
      <c r="A7" s="710" t="s">
        <v>512</v>
      </c>
      <c r="B7" s="710"/>
      <c r="C7" s="711">
        <v>1</v>
      </c>
      <c r="D7" s="711"/>
    </row>
    <row r="8" spans="1:4" ht="15">
      <c r="A8" s="713" t="s">
        <v>165</v>
      </c>
      <c r="B8" s="713"/>
      <c r="C8" s="713" t="s">
        <v>114</v>
      </c>
      <c r="D8" s="713"/>
    </row>
    <row r="9" spans="1:4" ht="15">
      <c r="A9" s="337" t="s">
        <v>115</v>
      </c>
      <c r="B9" s="337" t="s">
        <v>57</v>
      </c>
      <c r="C9" s="337" t="s">
        <v>115</v>
      </c>
      <c r="D9" s="337" t="s">
        <v>57</v>
      </c>
    </row>
    <row r="10" spans="1:4" ht="28.5">
      <c r="A10" s="338" t="s">
        <v>166</v>
      </c>
      <c r="B10" s="339">
        <v>500000</v>
      </c>
      <c r="C10" s="340" t="s">
        <v>644</v>
      </c>
      <c r="D10" s="339">
        <v>250000</v>
      </c>
    </row>
    <row r="11" spans="1:4" ht="28.5">
      <c r="A11" s="338" t="s">
        <v>167</v>
      </c>
      <c r="B11" s="339"/>
      <c r="C11" s="340"/>
      <c r="D11" s="339"/>
    </row>
    <row r="12" spans="1:4" ht="14.25">
      <c r="A12" s="338" t="s">
        <v>168</v>
      </c>
      <c r="B12" s="339"/>
      <c r="C12" s="340"/>
      <c r="D12" s="339"/>
    </row>
    <row r="13" spans="1:4" ht="14.25">
      <c r="A13" s="338" t="s">
        <v>169</v>
      </c>
      <c r="B13" s="339"/>
      <c r="C13" s="340"/>
      <c r="D13" s="339"/>
    </row>
    <row r="14" spans="1:4" ht="14.25">
      <c r="A14" s="338" t="s">
        <v>170</v>
      </c>
      <c r="B14" s="339">
        <v>0</v>
      </c>
      <c r="C14" s="340"/>
      <c r="D14" s="339"/>
    </row>
    <row r="15" spans="1:4" ht="14.25">
      <c r="A15" s="338" t="s">
        <v>171</v>
      </c>
      <c r="B15" s="339"/>
      <c r="C15" s="340"/>
      <c r="D15" s="339"/>
    </row>
    <row r="16" spans="1:4" ht="15">
      <c r="A16" s="341" t="s">
        <v>172</v>
      </c>
      <c r="B16" s="342">
        <f>SUM(B10:B15)</f>
        <v>500000</v>
      </c>
      <c r="C16" s="343" t="s">
        <v>172</v>
      </c>
      <c r="D16" s="344">
        <f>SUM(D10:D15)</f>
        <v>250000</v>
      </c>
    </row>
    <row r="17" spans="1:4" ht="14.25">
      <c r="A17" s="714"/>
      <c r="B17" s="714"/>
      <c r="C17" s="715"/>
      <c r="D17" s="716"/>
    </row>
    <row r="18" spans="1:4" ht="15">
      <c r="A18" s="712" t="s">
        <v>173</v>
      </c>
      <c r="B18" s="712"/>
      <c r="C18" s="713" t="s">
        <v>114</v>
      </c>
      <c r="D18" s="713"/>
    </row>
    <row r="19" spans="1:4" ht="15">
      <c r="A19" s="337" t="s">
        <v>115</v>
      </c>
      <c r="B19" s="337" t="s">
        <v>57</v>
      </c>
      <c r="C19" s="337" t="s">
        <v>115</v>
      </c>
      <c r="D19" s="337" t="s">
        <v>57</v>
      </c>
    </row>
    <row r="20" spans="1:4" ht="28.5">
      <c r="A20" s="338" t="s">
        <v>174</v>
      </c>
      <c r="B20" s="339"/>
      <c r="C20" s="340" t="s">
        <v>645</v>
      </c>
      <c r="D20" s="339">
        <v>200000</v>
      </c>
    </row>
    <row r="21" spans="1:4" ht="14.25">
      <c r="A21" s="338" t="s">
        <v>175</v>
      </c>
      <c r="B21" s="339"/>
      <c r="C21" s="340"/>
      <c r="D21" s="339"/>
    </row>
    <row r="22" spans="1:4" ht="14.25">
      <c r="A22" s="338" t="s">
        <v>176</v>
      </c>
      <c r="B22" s="339">
        <v>200000</v>
      </c>
      <c r="C22" s="340"/>
      <c r="D22" s="339"/>
    </row>
    <row r="23" spans="1:4" ht="14.25">
      <c r="A23" s="338" t="s">
        <v>177</v>
      </c>
      <c r="B23" s="339">
        <v>0</v>
      </c>
      <c r="C23" s="340"/>
      <c r="D23" s="339"/>
    </row>
    <row r="24" spans="1:4" ht="14.25">
      <c r="A24" s="338" t="s">
        <v>172</v>
      </c>
      <c r="B24" s="345">
        <f>SUM(B20:B23)</f>
        <v>200000</v>
      </c>
      <c r="C24" s="338" t="s">
        <v>172</v>
      </c>
      <c r="D24" s="345">
        <f>SUM(D20:D23)</f>
        <v>200000</v>
      </c>
    </row>
    <row r="25" spans="1:4" ht="15">
      <c r="A25" s="343" t="s">
        <v>89</v>
      </c>
      <c r="B25" s="344">
        <f>B16+B24</f>
        <v>700000</v>
      </c>
      <c r="C25" s="343" t="s">
        <v>89</v>
      </c>
      <c r="D25" s="344">
        <f>D16+D24</f>
        <v>450000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5:D5"/>
    <mergeCell ref="A6:D6"/>
    <mergeCell ref="A1:D1"/>
    <mergeCell ref="A2:D2"/>
    <mergeCell ref="A3:D3"/>
    <mergeCell ref="A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50.00390625" style="0" customWidth="1"/>
    <col min="3" max="3" width="16.57421875" style="0" customWidth="1"/>
    <col min="4" max="4" width="12.00390625" style="0" customWidth="1"/>
    <col min="5" max="5" width="101.140625" style="0" customWidth="1"/>
  </cols>
  <sheetData>
    <row r="1" spans="1:5" ht="12.75">
      <c r="A1" s="723" t="s">
        <v>611</v>
      </c>
      <c r="B1" s="724"/>
      <c r="C1" s="724"/>
      <c r="D1" s="724"/>
      <c r="E1" s="725"/>
    </row>
    <row r="2" spans="1:5" ht="12.75">
      <c r="A2" s="726" t="s">
        <v>188</v>
      </c>
      <c r="B2" s="494"/>
      <c r="C2" s="494"/>
      <c r="D2" s="494"/>
      <c r="E2" s="727"/>
    </row>
    <row r="3" spans="1:5" ht="12.75">
      <c r="A3" s="68"/>
      <c r="B3" s="69"/>
      <c r="C3" s="69"/>
      <c r="D3" s="69"/>
      <c r="E3" s="70"/>
    </row>
    <row r="4" spans="1:5" ht="12.75">
      <c r="A4" s="728" t="s">
        <v>189</v>
      </c>
      <c r="B4" s="729"/>
      <c r="C4" s="69"/>
      <c r="D4" s="69"/>
      <c r="E4" s="70"/>
    </row>
    <row r="5" spans="1:5" ht="12.75">
      <c r="A5" s="728" t="s">
        <v>190</v>
      </c>
      <c r="B5" s="494"/>
      <c r="C5" s="69"/>
      <c r="D5" s="69"/>
      <c r="E5" s="70"/>
    </row>
    <row r="6" spans="1:5" ht="13.5" thickBot="1">
      <c r="A6" s="71"/>
      <c r="B6" s="72"/>
      <c r="C6" s="72"/>
      <c r="D6" s="72"/>
      <c r="E6" s="73"/>
    </row>
    <row r="7" spans="1:5" ht="12.75">
      <c r="A7" s="717" t="s">
        <v>191</v>
      </c>
      <c r="B7" s="74" t="s">
        <v>192</v>
      </c>
      <c r="C7" s="717" t="s">
        <v>193</v>
      </c>
      <c r="D7" s="720"/>
      <c r="E7" s="74"/>
    </row>
    <row r="8" spans="1:5" ht="12.75">
      <c r="A8" s="718"/>
      <c r="B8" s="75"/>
      <c r="C8" s="718"/>
      <c r="D8" s="721"/>
      <c r="E8" s="75">
        <v>2019</v>
      </c>
    </row>
    <row r="9" spans="1:5" ht="13.5" thickBot="1">
      <c r="A9" s="719"/>
      <c r="B9" s="76" t="s">
        <v>194</v>
      </c>
      <c r="C9" s="719"/>
      <c r="D9" s="722"/>
      <c r="E9" s="77"/>
    </row>
    <row r="10" spans="1:5" ht="12.75">
      <c r="A10" s="730"/>
      <c r="B10" s="730"/>
      <c r="C10" s="730"/>
      <c r="D10" s="78" t="s">
        <v>195</v>
      </c>
      <c r="E10" s="730"/>
    </row>
    <row r="11" spans="1:5" ht="13.5" thickBot="1">
      <c r="A11" s="731"/>
      <c r="B11" s="731"/>
      <c r="C11" s="731"/>
      <c r="D11" s="79" t="s">
        <v>57</v>
      </c>
      <c r="E11" s="731"/>
    </row>
    <row r="12" spans="1:5" ht="12.75">
      <c r="A12" s="730"/>
      <c r="B12" s="730"/>
      <c r="C12" s="730"/>
      <c r="D12" s="78" t="s">
        <v>195</v>
      </c>
      <c r="E12" s="730"/>
    </row>
    <row r="13" spans="1:5" ht="13.5" thickBot="1">
      <c r="A13" s="731"/>
      <c r="B13" s="731"/>
      <c r="C13" s="731"/>
      <c r="D13" s="79" t="s">
        <v>57</v>
      </c>
      <c r="E13" s="731"/>
    </row>
    <row r="14" spans="1:5" ht="12.75">
      <c r="A14" s="730"/>
      <c r="B14" s="730"/>
      <c r="C14" s="730"/>
      <c r="D14" s="78" t="s">
        <v>195</v>
      </c>
      <c r="E14" s="730"/>
    </row>
    <row r="15" spans="1:5" ht="13.5" thickBot="1">
      <c r="A15" s="731"/>
      <c r="B15" s="731"/>
      <c r="C15" s="731"/>
      <c r="D15" s="79" t="s">
        <v>57</v>
      </c>
      <c r="E15" s="731"/>
    </row>
    <row r="16" spans="1:5" ht="12.75">
      <c r="A16" s="730"/>
      <c r="B16" s="730"/>
      <c r="C16" s="730"/>
      <c r="D16" s="78" t="s">
        <v>195</v>
      </c>
      <c r="E16" s="730"/>
    </row>
    <row r="17" spans="1:5" ht="13.5" thickBot="1">
      <c r="A17" s="731"/>
      <c r="B17" s="731"/>
      <c r="C17" s="731"/>
      <c r="D17" s="79" t="s">
        <v>57</v>
      </c>
      <c r="E17" s="731"/>
    </row>
    <row r="18" spans="1:5" ht="12.75">
      <c r="A18" s="730"/>
      <c r="B18" s="730"/>
      <c r="C18" s="730"/>
      <c r="D18" s="78" t="s">
        <v>195</v>
      </c>
      <c r="E18" s="730"/>
    </row>
    <row r="19" spans="1:5" ht="13.5" thickBot="1">
      <c r="A19" s="731"/>
      <c r="B19" s="731"/>
      <c r="C19" s="731"/>
      <c r="D19" s="79" t="s">
        <v>57</v>
      </c>
      <c r="E19" s="731"/>
    </row>
    <row r="20" spans="1:5" ht="12.75">
      <c r="A20" s="730"/>
      <c r="B20" s="730"/>
      <c r="C20" s="730"/>
      <c r="D20" s="78" t="s">
        <v>195</v>
      </c>
      <c r="E20" s="730"/>
    </row>
    <row r="21" spans="1:5" ht="13.5" thickBot="1">
      <c r="A21" s="731"/>
      <c r="B21" s="731"/>
      <c r="C21" s="731"/>
      <c r="D21" s="79" t="s">
        <v>57</v>
      </c>
      <c r="E21" s="731"/>
    </row>
    <row r="22" spans="1:5" ht="12.75">
      <c r="A22" s="730"/>
      <c r="B22" s="730"/>
      <c r="C22" s="730"/>
      <c r="D22" s="78" t="s">
        <v>195</v>
      </c>
      <c r="E22" s="730"/>
    </row>
    <row r="23" spans="1:5" ht="13.5" thickBot="1">
      <c r="A23" s="731"/>
      <c r="B23" s="731"/>
      <c r="C23" s="731"/>
      <c r="D23" s="79" t="s">
        <v>57</v>
      </c>
      <c r="E23" s="731"/>
    </row>
    <row r="24" spans="1:5" ht="12.75">
      <c r="A24" s="730"/>
      <c r="B24" s="730"/>
      <c r="C24" s="730"/>
      <c r="D24" s="78" t="s">
        <v>195</v>
      </c>
      <c r="E24" s="730"/>
    </row>
    <row r="25" spans="1:5" ht="13.5" thickBot="1">
      <c r="A25" s="731"/>
      <c r="B25" s="731"/>
      <c r="C25" s="731"/>
      <c r="D25" s="79" t="s">
        <v>57</v>
      </c>
      <c r="E25" s="731"/>
    </row>
    <row r="26" spans="1:5" ht="12.75">
      <c r="A26" s="730"/>
      <c r="B26" s="730"/>
      <c r="C26" s="730"/>
      <c r="D26" s="78" t="s">
        <v>195</v>
      </c>
      <c r="E26" s="730"/>
    </row>
    <row r="27" spans="1:5" ht="13.5" thickBot="1">
      <c r="A27" s="731"/>
      <c r="B27" s="731"/>
      <c r="C27" s="731"/>
      <c r="D27" s="79" t="s">
        <v>57</v>
      </c>
      <c r="E27" s="731"/>
    </row>
    <row r="28" spans="1:5" ht="12.75">
      <c r="A28" s="730"/>
      <c r="B28" s="730"/>
      <c r="C28" s="730"/>
      <c r="D28" s="78" t="s">
        <v>195</v>
      </c>
      <c r="E28" s="730"/>
    </row>
    <row r="29" spans="1:5" ht="13.5" thickBot="1">
      <c r="A29" s="731"/>
      <c r="B29" s="731"/>
      <c r="C29" s="731"/>
      <c r="D29" s="79" t="s">
        <v>57</v>
      </c>
      <c r="E29" s="731"/>
    </row>
    <row r="30" spans="1:5" ht="12.75">
      <c r="A30" s="730"/>
      <c r="B30" s="730"/>
      <c r="C30" s="730"/>
      <c r="D30" s="78" t="s">
        <v>195</v>
      </c>
      <c r="E30" s="730"/>
    </row>
    <row r="31" spans="1:5" ht="13.5" thickBot="1">
      <c r="A31" s="731"/>
      <c r="B31" s="731"/>
      <c r="C31" s="731"/>
      <c r="D31" s="79" t="s">
        <v>57</v>
      </c>
      <c r="E31" s="731"/>
    </row>
    <row r="32" spans="1:5" ht="12.75">
      <c r="A32" s="730"/>
      <c r="B32" s="730"/>
      <c r="C32" s="730"/>
      <c r="D32" s="78" t="s">
        <v>195</v>
      </c>
      <c r="E32" s="730"/>
    </row>
    <row r="33" spans="1:5" ht="13.5" thickBot="1">
      <c r="A33" s="731"/>
      <c r="B33" s="731"/>
      <c r="C33" s="731"/>
      <c r="D33" s="78" t="s">
        <v>57</v>
      </c>
      <c r="E33" s="731"/>
    </row>
    <row r="34" spans="1:5" ht="13.5" thickBot="1">
      <c r="A34" s="732" t="s">
        <v>196</v>
      </c>
      <c r="B34" s="733"/>
      <c r="C34" s="733"/>
      <c r="D34" s="734"/>
      <c r="E34" s="80"/>
    </row>
    <row r="35" spans="1:2" ht="12.75">
      <c r="A35" s="81" t="s">
        <v>197</v>
      </c>
      <c r="B35" s="81" t="s">
        <v>198</v>
      </c>
    </row>
  </sheetData>
  <sheetProtection/>
  <mergeCells count="56"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  <mergeCell ref="A26:A27"/>
    <mergeCell ref="B26:B27"/>
    <mergeCell ref="C26:C27"/>
    <mergeCell ref="E26:E27"/>
    <mergeCell ref="A28:A29"/>
    <mergeCell ref="B28:B29"/>
    <mergeCell ref="C28:C29"/>
    <mergeCell ref="E28:E29"/>
    <mergeCell ref="A22:A23"/>
    <mergeCell ref="B22:B23"/>
    <mergeCell ref="C22:C23"/>
    <mergeCell ref="E22:E23"/>
    <mergeCell ref="A24:A25"/>
    <mergeCell ref="B24:B25"/>
    <mergeCell ref="C24:C25"/>
    <mergeCell ref="E24:E25"/>
    <mergeCell ref="A18:A19"/>
    <mergeCell ref="B18:B19"/>
    <mergeCell ref="C18:C19"/>
    <mergeCell ref="E18:E19"/>
    <mergeCell ref="A20:A21"/>
    <mergeCell ref="B20:B21"/>
    <mergeCell ref="C20:C21"/>
    <mergeCell ref="E20:E21"/>
    <mergeCell ref="A14:A15"/>
    <mergeCell ref="B14:B15"/>
    <mergeCell ref="C14:C15"/>
    <mergeCell ref="E14:E15"/>
    <mergeCell ref="A16:A17"/>
    <mergeCell ref="B16:B17"/>
    <mergeCell ref="C16:C17"/>
    <mergeCell ref="E16:E17"/>
    <mergeCell ref="A10:A11"/>
    <mergeCell ref="B10:B11"/>
    <mergeCell ref="C10:C11"/>
    <mergeCell ref="E10:E11"/>
    <mergeCell ref="A12:A13"/>
    <mergeCell ref="B12:B13"/>
    <mergeCell ref="C12:C13"/>
    <mergeCell ref="E12:E13"/>
    <mergeCell ref="A7:A9"/>
    <mergeCell ref="C7:C9"/>
    <mergeCell ref="D7:D9"/>
    <mergeCell ref="A1:E1"/>
    <mergeCell ref="A2:E2"/>
    <mergeCell ref="A4:B4"/>
    <mergeCell ref="A5:B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L27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12.28125" style="0" customWidth="1"/>
    <col min="4" max="4" width="14.421875" style="0" customWidth="1"/>
    <col min="5" max="5" width="11.28125" style="0" customWidth="1"/>
    <col min="6" max="6" width="12.421875" style="0" customWidth="1"/>
    <col min="7" max="7" width="10.8515625" style="0" customWidth="1"/>
    <col min="8" max="8" width="11.57421875" style="0" customWidth="1"/>
    <col min="10" max="10" width="5.8515625" style="0" customWidth="1"/>
    <col min="11" max="11" width="3.7109375" style="0" hidden="1" customWidth="1"/>
    <col min="12" max="12" width="13.140625" style="0" customWidth="1"/>
  </cols>
  <sheetData>
    <row r="1" spans="1:12" ht="12.75">
      <c r="A1" s="735" t="s">
        <v>199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7"/>
    </row>
    <row r="2" spans="1:12" ht="13.5" thickBot="1">
      <c r="A2" s="738"/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40"/>
    </row>
    <row r="3" spans="1:12" ht="15.75">
      <c r="A3" s="735" t="s">
        <v>612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2"/>
    </row>
    <row r="4" spans="1:12" ht="15.75">
      <c r="A4" s="743" t="s">
        <v>200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5"/>
    </row>
    <row r="5" spans="1:12" ht="16.5" thickBot="1">
      <c r="A5" s="746" t="s">
        <v>201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8"/>
    </row>
    <row r="6" spans="1:12" ht="15.75" thickBot="1">
      <c r="A6" s="759" t="s">
        <v>202</v>
      </c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1"/>
    </row>
    <row r="7" spans="1:12" ht="13.5" thickBot="1">
      <c r="A7" s="762"/>
      <c r="B7" s="763"/>
      <c r="C7" s="82"/>
      <c r="D7" s="82"/>
      <c r="E7" s="764" t="s">
        <v>203</v>
      </c>
      <c r="F7" s="765"/>
      <c r="G7" s="766"/>
      <c r="H7" s="754" t="s">
        <v>613</v>
      </c>
      <c r="I7" s="755"/>
      <c r="J7" s="755"/>
      <c r="K7" s="755"/>
      <c r="L7" s="756"/>
    </row>
    <row r="8" spans="1:12" ht="12.75">
      <c r="A8" s="770" t="s">
        <v>204</v>
      </c>
      <c r="B8" s="771"/>
      <c r="C8" s="752" t="s">
        <v>205</v>
      </c>
      <c r="D8" s="752" t="s">
        <v>206</v>
      </c>
      <c r="E8" s="752" t="s">
        <v>614</v>
      </c>
      <c r="F8" s="752" t="s">
        <v>615</v>
      </c>
      <c r="G8" s="752" t="s">
        <v>616</v>
      </c>
      <c r="H8" s="752" t="s">
        <v>207</v>
      </c>
      <c r="I8" s="770" t="s">
        <v>213</v>
      </c>
      <c r="J8" s="777"/>
      <c r="K8" s="771"/>
      <c r="L8" s="752" t="s">
        <v>208</v>
      </c>
    </row>
    <row r="9" spans="1:12" ht="29.25" customHeight="1" thickBot="1">
      <c r="A9" s="772"/>
      <c r="B9" s="773"/>
      <c r="C9" s="753"/>
      <c r="D9" s="753"/>
      <c r="E9" s="753"/>
      <c r="F9" s="753"/>
      <c r="G9" s="753"/>
      <c r="H9" s="753"/>
      <c r="I9" s="772"/>
      <c r="J9" s="778"/>
      <c r="K9" s="773"/>
      <c r="L9" s="753"/>
    </row>
    <row r="10" spans="1:12" ht="13.5" thickBot="1">
      <c r="A10" s="757" t="s">
        <v>646</v>
      </c>
      <c r="B10" s="758"/>
      <c r="C10" s="466">
        <v>42450</v>
      </c>
      <c r="D10" s="467">
        <v>273750</v>
      </c>
      <c r="E10" s="298">
        <v>0.8</v>
      </c>
      <c r="F10" s="298">
        <v>0.2</v>
      </c>
      <c r="G10" s="463"/>
      <c r="H10" s="470"/>
      <c r="I10" s="767"/>
      <c r="J10" s="768"/>
      <c r="K10" s="769"/>
      <c r="L10" s="470"/>
    </row>
    <row r="11" spans="1:12" ht="13.5" thickBot="1">
      <c r="A11" s="757"/>
      <c r="B11" s="758"/>
      <c r="C11" s="299"/>
      <c r="D11" s="300"/>
      <c r="E11" s="298"/>
      <c r="F11" s="298"/>
      <c r="G11" s="463"/>
      <c r="H11" s="472"/>
      <c r="I11" s="749"/>
      <c r="J11" s="750"/>
      <c r="K11" s="751"/>
      <c r="L11" s="472"/>
    </row>
    <row r="12" spans="1:12" ht="13.5" thickBot="1">
      <c r="A12" s="757" t="s">
        <v>647</v>
      </c>
      <c r="B12" s="758"/>
      <c r="C12" s="301"/>
      <c r="D12" s="468">
        <v>120000</v>
      </c>
      <c r="E12" s="298"/>
      <c r="F12" s="298">
        <v>0.5</v>
      </c>
      <c r="G12" s="463">
        <v>0.5</v>
      </c>
      <c r="H12" s="471"/>
      <c r="I12" s="774"/>
      <c r="J12" s="775"/>
      <c r="K12" s="776"/>
      <c r="L12" s="471"/>
    </row>
    <row r="13" spans="1:12" ht="13.5" thickBot="1">
      <c r="A13" s="757" t="s">
        <v>649</v>
      </c>
      <c r="B13" s="758"/>
      <c r="C13" s="301"/>
      <c r="D13" s="467"/>
      <c r="E13" s="298"/>
      <c r="F13" s="298">
        <v>0.25</v>
      </c>
      <c r="G13" s="463">
        <v>0.75</v>
      </c>
      <c r="H13" s="472"/>
      <c r="I13" s="749"/>
      <c r="J13" s="750"/>
      <c r="K13" s="751"/>
      <c r="L13" s="473">
        <v>250000</v>
      </c>
    </row>
    <row r="14" spans="1:12" ht="27" customHeight="1" thickBot="1">
      <c r="A14" s="757" t="s">
        <v>650</v>
      </c>
      <c r="B14" s="758"/>
      <c r="C14" s="299"/>
      <c r="D14" s="300"/>
      <c r="E14" s="298"/>
      <c r="F14" s="298"/>
      <c r="G14" s="463"/>
      <c r="H14" s="472"/>
      <c r="I14" s="749"/>
      <c r="J14" s="750"/>
      <c r="K14" s="751"/>
      <c r="L14" s="473">
        <v>400000</v>
      </c>
    </row>
    <row r="15" spans="1:12" ht="13.5" customHeight="1" thickBot="1">
      <c r="A15" s="757" t="s">
        <v>648</v>
      </c>
      <c r="B15" s="758"/>
      <c r="C15" s="301"/>
      <c r="D15" s="300"/>
      <c r="E15" s="298"/>
      <c r="F15" s="298"/>
      <c r="G15" s="463"/>
      <c r="H15" s="472"/>
      <c r="I15" s="749" t="s">
        <v>651</v>
      </c>
      <c r="J15" s="750"/>
      <c r="K15" s="751"/>
      <c r="L15" s="472"/>
    </row>
    <row r="16" spans="1:12" ht="13.5" thickBot="1">
      <c r="A16" s="757" t="s">
        <v>652</v>
      </c>
      <c r="B16" s="758"/>
      <c r="C16" s="299"/>
      <c r="D16" s="468">
        <v>250000</v>
      </c>
      <c r="E16" s="298"/>
      <c r="F16" s="298">
        <v>0.5</v>
      </c>
      <c r="G16" s="463">
        <v>0.5</v>
      </c>
      <c r="H16" s="472"/>
      <c r="I16" s="749"/>
      <c r="J16" s="750"/>
      <c r="K16" s="751"/>
      <c r="L16" s="472"/>
    </row>
    <row r="17" spans="1:12" ht="13.5" thickBot="1">
      <c r="A17" s="757" t="s">
        <v>653</v>
      </c>
      <c r="B17" s="758"/>
      <c r="C17" s="475">
        <v>43006</v>
      </c>
      <c r="D17" s="468">
        <v>244000</v>
      </c>
      <c r="E17" s="298">
        <v>0.3416</v>
      </c>
      <c r="F17" s="298">
        <v>0.6584</v>
      </c>
      <c r="G17" s="463"/>
      <c r="H17" s="472"/>
      <c r="I17" s="749"/>
      <c r="J17" s="750"/>
      <c r="K17" s="751"/>
      <c r="L17" s="472"/>
    </row>
    <row r="18" spans="1:12" ht="13.5" thickBot="1">
      <c r="A18" s="757" t="s">
        <v>654</v>
      </c>
      <c r="B18" s="758"/>
      <c r="C18" s="299"/>
      <c r="D18" s="468">
        <v>151845.65</v>
      </c>
      <c r="E18" s="298"/>
      <c r="F18" s="298">
        <v>0.5</v>
      </c>
      <c r="G18" s="463">
        <v>0.5</v>
      </c>
      <c r="H18" s="472"/>
      <c r="I18" s="749"/>
      <c r="J18" s="750"/>
      <c r="K18" s="751"/>
      <c r="L18" s="472"/>
    </row>
    <row r="19" spans="1:12" ht="13.5" thickBot="1">
      <c r="A19" s="757" t="s">
        <v>655</v>
      </c>
      <c r="B19" s="758"/>
      <c r="C19" s="299"/>
      <c r="D19" s="468">
        <v>250000</v>
      </c>
      <c r="E19" s="298"/>
      <c r="F19" s="298">
        <v>0.5</v>
      </c>
      <c r="G19" s="463">
        <v>0.5</v>
      </c>
      <c r="H19" s="472"/>
      <c r="I19" s="749"/>
      <c r="J19" s="750"/>
      <c r="K19" s="751"/>
      <c r="L19" s="472"/>
    </row>
    <row r="20" spans="1:12" ht="13.5" thickBot="1">
      <c r="A20" s="757" t="s">
        <v>656</v>
      </c>
      <c r="B20" s="758"/>
      <c r="C20" s="299"/>
      <c r="D20" s="468">
        <v>250000</v>
      </c>
      <c r="E20" s="298"/>
      <c r="F20" s="298">
        <v>0.3</v>
      </c>
      <c r="G20" s="463">
        <v>0.8</v>
      </c>
      <c r="H20" s="471"/>
      <c r="I20" s="774"/>
      <c r="J20" s="775"/>
      <c r="K20" s="776"/>
      <c r="L20" s="471"/>
    </row>
    <row r="21" spans="1:12" ht="13.5" thickBot="1">
      <c r="A21" s="757" t="s">
        <v>657</v>
      </c>
      <c r="B21" s="758"/>
      <c r="C21" s="299"/>
      <c r="D21" s="468">
        <v>223157.14</v>
      </c>
      <c r="E21" s="298"/>
      <c r="F21" s="298"/>
      <c r="G21" s="463">
        <v>1</v>
      </c>
      <c r="H21" s="472"/>
      <c r="I21" s="749"/>
      <c r="J21" s="750"/>
      <c r="K21" s="751"/>
      <c r="L21" s="472"/>
    </row>
    <row r="22" spans="1:12" ht="13.5" thickBot="1">
      <c r="A22" s="757"/>
      <c r="B22" s="758"/>
      <c r="C22" s="299"/>
      <c r="D22" s="300"/>
      <c r="E22" s="298"/>
      <c r="F22" s="298"/>
      <c r="G22" s="463"/>
      <c r="H22" s="469"/>
      <c r="I22" s="779"/>
      <c r="J22" s="780"/>
      <c r="K22" s="781"/>
      <c r="L22" s="469"/>
    </row>
    <row r="23" spans="1:12" ht="13.5" thickBot="1">
      <c r="A23" s="757"/>
      <c r="B23" s="758"/>
      <c r="C23" s="299"/>
      <c r="D23" s="300"/>
      <c r="E23" s="298"/>
      <c r="F23" s="298"/>
      <c r="G23" s="463"/>
      <c r="H23" s="472"/>
      <c r="I23" s="749"/>
      <c r="J23" s="750"/>
      <c r="K23" s="751"/>
      <c r="L23" s="472"/>
    </row>
    <row r="24" spans="1:12" ht="13.5" thickBot="1">
      <c r="A24" s="757"/>
      <c r="B24" s="758"/>
      <c r="C24" s="299"/>
      <c r="D24" s="300"/>
      <c r="E24" s="298"/>
      <c r="F24" s="298"/>
      <c r="G24" s="463"/>
      <c r="H24" s="472"/>
      <c r="I24" s="749"/>
      <c r="J24" s="750"/>
      <c r="K24" s="751"/>
      <c r="L24" s="472"/>
    </row>
    <row r="25" spans="1:12" ht="13.5" thickBot="1">
      <c r="A25" s="757"/>
      <c r="B25" s="758"/>
      <c r="C25" s="299"/>
      <c r="D25" s="300"/>
      <c r="E25" s="298"/>
      <c r="F25" s="298"/>
      <c r="G25" s="463"/>
      <c r="H25" s="471"/>
      <c r="I25" s="774"/>
      <c r="J25" s="775"/>
      <c r="K25" s="776"/>
      <c r="L25" s="471"/>
    </row>
    <row r="26" spans="1:12" ht="13.5" thickBot="1">
      <c r="A26" s="757"/>
      <c r="B26" s="758"/>
      <c r="C26" s="299"/>
      <c r="D26" s="300"/>
      <c r="E26" s="298"/>
      <c r="F26" s="298"/>
      <c r="G26" s="463"/>
      <c r="H26" s="472"/>
      <c r="I26" s="749"/>
      <c r="J26" s="750"/>
      <c r="K26" s="751"/>
      <c r="L26" s="472"/>
    </row>
    <row r="27" spans="1:12" ht="13.5" thickBot="1">
      <c r="A27" s="782" t="s">
        <v>209</v>
      </c>
      <c r="B27" s="783"/>
      <c r="C27" s="783"/>
      <c r="D27" s="783"/>
      <c r="E27" s="783"/>
      <c r="F27" s="783"/>
      <c r="G27" s="784"/>
      <c r="H27" s="297">
        <f>SUM(H10:H26)</f>
        <v>0</v>
      </c>
      <c r="I27" s="785">
        <v>0</v>
      </c>
      <c r="J27" s="786"/>
      <c r="K27" s="787"/>
      <c r="L27" s="297">
        <f>SUM(L10:L26)</f>
        <v>650000</v>
      </c>
    </row>
    <row r="30" ht="12.75">
      <c r="N30" s="302"/>
    </row>
    <row r="32" ht="12.75">
      <c r="D32" s="474"/>
    </row>
  </sheetData>
  <sheetProtection/>
  <mergeCells count="53">
    <mergeCell ref="I22:K22"/>
    <mergeCell ref="A24:B24"/>
    <mergeCell ref="I24:K24"/>
    <mergeCell ref="A27:G27"/>
    <mergeCell ref="I27:K27"/>
    <mergeCell ref="A25:B25"/>
    <mergeCell ref="I25:K25"/>
    <mergeCell ref="A26:B26"/>
    <mergeCell ref="I26:K26"/>
    <mergeCell ref="G8:G9"/>
    <mergeCell ref="I8:K9"/>
    <mergeCell ref="A11:B11"/>
    <mergeCell ref="A23:B23"/>
    <mergeCell ref="I23:K23"/>
    <mergeCell ref="A20:B20"/>
    <mergeCell ref="I20:K20"/>
    <mergeCell ref="A21:B21"/>
    <mergeCell ref="I21:K21"/>
    <mergeCell ref="A22:B22"/>
    <mergeCell ref="A12:B12"/>
    <mergeCell ref="I12:K12"/>
    <mergeCell ref="A13:B13"/>
    <mergeCell ref="I13:K13"/>
    <mergeCell ref="A14:B14"/>
    <mergeCell ref="I14:K14"/>
    <mergeCell ref="A15:B15"/>
    <mergeCell ref="I15:K15"/>
    <mergeCell ref="A6:L6"/>
    <mergeCell ref="A7:B7"/>
    <mergeCell ref="E7:G7"/>
    <mergeCell ref="A10:B10"/>
    <mergeCell ref="I10:K10"/>
    <mergeCell ref="E8:E9"/>
    <mergeCell ref="A8:B9"/>
    <mergeCell ref="C8:C9"/>
    <mergeCell ref="A19:B19"/>
    <mergeCell ref="I19:K19"/>
    <mergeCell ref="A16:B16"/>
    <mergeCell ref="I16:K16"/>
    <mergeCell ref="A17:B17"/>
    <mergeCell ref="I17:K17"/>
    <mergeCell ref="I18:K18"/>
    <mergeCell ref="A18:B18"/>
    <mergeCell ref="A1:L2"/>
    <mergeCell ref="A3:L3"/>
    <mergeCell ref="A4:L4"/>
    <mergeCell ref="A5:L5"/>
    <mergeCell ref="I11:K11"/>
    <mergeCell ref="L8:L9"/>
    <mergeCell ref="F8:F9"/>
    <mergeCell ref="H7:L7"/>
    <mergeCell ref="D8:D9"/>
    <mergeCell ref="H8:H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FU299"/>
  <sheetViews>
    <sheetView zoomScale="75" zoomScaleNormal="75" zoomScaleSheetLayoutView="30" workbookViewId="0" topLeftCell="A129">
      <selection activeCell="A107" sqref="A107:I141"/>
    </sheetView>
  </sheetViews>
  <sheetFormatPr defaultColWidth="19.140625" defaultRowHeight="12.75"/>
  <cols>
    <col min="1" max="1" width="27.7109375" style="4" customWidth="1"/>
    <col min="2" max="2" width="53.57421875" style="4" customWidth="1"/>
    <col min="3" max="6" width="20.7109375" style="4" customWidth="1"/>
    <col min="7" max="7" width="22.421875" style="4" customWidth="1"/>
    <col min="8" max="8" width="22.8515625" style="4" customWidth="1"/>
    <col min="9" max="9" width="23.00390625" style="4" customWidth="1"/>
    <col min="10" max="177" width="19.140625" style="105" customWidth="1"/>
    <col min="178" max="16384" width="19.140625" style="4" customWidth="1"/>
  </cols>
  <sheetData>
    <row r="1" spans="1:177" s="2" customFormat="1" ht="17.25" customHeight="1">
      <c r="A1" s="501" t="str">
        <f>Parâmetros!A7</f>
        <v>Município de : BARRA DO QUARAI</v>
      </c>
      <c r="B1" s="502"/>
      <c r="C1" s="502"/>
      <c r="D1" s="502"/>
      <c r="E1" s="502"/>
      <c r="F1" s="502"/>
      <c r="G1" s="502"/>
      <c r="H1" s="502"/>
      <c r="I1" s="502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</row>
    <row r="2" spans="1:177" s="2" customFormat="1" ht="30" customHeight="1">
      <c r="A2" s="503" t="str">
        <f>Parâmetros!A8</f>
        <v>LEI DE DIRETRIZES ORÇAMENTÁRIAS  PARA 2020</v>
      </c>
      <c r="B2" s="502"/>
      <c r="C2" s="502"/>
      <c r="D2" s="502"/>
      <c r="E2" s="502"/>
      <c r="F2" s="502"/>
      <c r="G2" s="502"/>
      <c r="H2" s="502"/>
      <c r="I2" s="502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</row>
    <row r="3" spans="1:177" s="2" customFormat="1" ht="19.5" customHeight="1">
      <c r="A3" s="504" t="s">
        <v>498</v>
      </c>
      <c r="B3" s="502"/>
      <c r="C3" s="502"/>
      <c r="D3" s="502"/>
      <c r="E3" s="502"/>
      <c r="F3" s="502"/>
      <c r="G3" s="502"/>
      <c r="H3" s="502"/>
      <c r="I3" s="502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</row>
    <row r="4" spans="1:177" s="2" customFormat="1" ht="15.75" hidden="1">
      <c r="A4" s="15"/>
      <c r="B4" s="16"/>
      <c r="C4" s="16"/>
      <c r="D4" s="16"/>
      <c r="E4" s="16"/>
      <c r="F4" s="16"/>
      <c r="G4" s="16"/>
      <c r="H4" s="16"/>
      <c r="I4" s="1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</row>
    <row r="5" spans="1:177" s="2" customFormat="1" ht="15.75">
      <c r="A5" s="17"/>
      <c r="B5" s="18"/>
      <c r="C5" s="18"/>
      <c r="D5" s="18"/>
      <c r="E5" s="18"/>
      <c r="F5" s="18"/>
      <c r="G5" s="18"/>
      <c r="H5" s="18"/>
      <c r="I5" s="19" t="s">
        <v>55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</row>
    <row r="6" spans="1:177" s="1" customFormat="1" ht="15.75">
      <c r="A6" s="226"/>
      <c r="B6" s="227" t="s">
        <v>0</v>
      </c>
      <c r="C6" s="228" t="s">
        <v>221</v>
      </c>
      <c r="D6" s="228" t="s">
        <v>221</v>
      </c>
      <c r="E6" s="228" t="s">
        <v>221</v>
      </c>
      <c r="F6" s="229" t="s">
        <v>130</v>
      </c>
      <c r="G6" s="229" t="s">
        <v>12</v>
      </c>
      <c r="H6" s="230" t="s">
        <v>12</v>
      </c>
      <c r="I6" s="231" t="s">
        <v>12</v>
      </c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</row>
    <row r="7" spans="1:177" s="1" customFormat="1" ht="27.75" customHeight="1">
      <c r="A7" s="232"/>
      <c r="B7" s="233" t="s">
        <v>8</v>
      </c>
      <c r="C7" s="234">
        <f>Parâmetros!B10-1</f>
        <v>2016</v>
      </c>
      <c r="D7" s="235">
        <f aca="true" t="shared" si="0" ref="D7:I7">C7+1</f>
        <v>2017</v>
      </c>
      <c r="E7" s="235">
        <f t="shared" si="0"/>
        <v>2018</v>
      </c>
      <c r="F7" s="235">
        <f t="shared" si="0"/>
        <v>2019</v>
      </c>
      <c r="G7" s="235">
        <f t="shared" si="0"/>
        <v>2020</v>
      </c>
      <c r="H7" s="235">
        <f t="shared" si="0"/>
        <v>2021</v>
      </c>
      <c r="I7" s="235">
        <f t="shared" si="0"/>
        <v>2022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</row>
    <row r="8" spans="1:177" s="88" customFormat="1" ht="17.25" customHeight="1">
      <c r="A8" s="236" t="s">
        <v>222</v>
      </c>
      <c r="B8" s="237" t="s">
        <v>223</v>
      </c>
      <c r="C8" s="238">
        <f aca="true" t="shared" si="1" ref="C8:I8">C9+C15+C23+C34+C35+C36+C39+C66</f>
        <v>21704738.29</v>
      </c>
      <c r="D8" s="238">
        <f t="shared" si="1"/>
        <v>22604625.620000005</v>
      </c>
      <c r="E8" s="238">
        <f t="shared" si="1"/>
        <v>23833296.84</v>
      </c>
      <c r="F8" s="238">
        <f t="shared" si="1"/>
        <v>26612923.209999993</v>
      </c>
      <c r="G8" s="238">
        <f t="shared" si="1"/>
        <v>27811341.04183169</v>
      </c>
      <c r="H8" s="238">
        <f t="shared" si="1"/>
        <v>29934900.427036986</v>
      </c>
      <c r="I8" s="238">
        <f t="shared" si="1"/>
        <v>32351342.857356846</v>
      </c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</row>
    <row r="9" spans="1:177" s="8" customFormat="1" ht="12.75">
      <c r="A9" s="239" t="s">
        <v>224</v>
      </c>
      <c r="B9" s="240" t="s">
        <v>225</v>
      </c>
      <c r="C9" s="241">
        <f aca="true" t="shared" si="2" ref="C9:I9">C10+C11+C12+C13+C14</f>
        <v>715289.63</v>
      </c>
      <c r="D9" s="241">
        <f t="shared" si="2"/>
        <v>1244231.7200000002</v>
      </c>
      <c r="E9" s="241">
        <f t="shared" si="2"/>
        <v>1942332.4600000002</v>
      </c>
      <c r="F9" s="241">
        <f t="shared" si="2"/>
        <v>1630567.75</v>
      </c>
      <c r="G9" s="241">
        <f t="shared" si="2"/>
        <v>1888361.0569270696</v>
      </c>
      <c r="H9" s="241">
        <f t="shared" si="2"/>
        <v>2094821.8658177622</v>
      </c>
      <c r="I9" s="241">
        <f t="shared" si="2"/>
        <v>2323667.1891792472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</row>
    <row r="10" spans="1:177" s="8" customFormat="1" ht="25.5">
      <c r="A10" s="242" t="s">
        <v>408</v>
      </c>
      <c r="B10" s="243" t="s">
        <v>411</v>
      </c>
      <c r="C10" s="85"/>
      <c r="D10" s="85">
        <v>0</v>
      </c>
      <c r="E10" s="85">
        <v>233074.81</v>
      </c>
      <c r="F10" s="85">
        <v>199726.77</v>
      </c>
      <c r="G10" s="244">
        <f>(((D10*(1+Parâmetros!B11)*(1+Parâmetros!C11)*(1+Parâmetros!D11))+(E10*(1+Parâmetros!C11)*(1+Parâmetros!D11)+(F10*(1+Parâmetros!D11))))/3)*(1+Parâmetros!E11)*(1+Parâmetros!E15)</f>
        <v>167949.07436239917</v>
      </c>
      <c r="H10" s="244">
        <f>G10*(1+Parâmetros!F11)*(1+Parâmetros!F15)</f>
        <v>186311.50649268818</v>
      </c>
      <c r="I10" s="244">
        <f>H10*(1+Parâmetros!G11)*(1+Parâmetros!G15)</f>
        <v>206664.7965003044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</row>
    <row r="11" spans="1:177" s="8" customFormat="1" ht="25.5">
      <c r="A11" s="242" t="s">
        <v>409</v>
      </c>
      <c r="B11" s="243" t="s">
        <v>412</v>
      </c>
      <c r="C11" s="85">
        <v>0</v>
      </c>
      <c r="D11" s="85">
        <v>0</v>
      </c>
      <c r="E11" s="85">
        <v>0</v>
      </c>
      <c r="F11" s="85">
        <v>0</v>
      </c>
      <c r="G11" s="244">
        <f>(((D11*(1+Parâmetros!B11)*(1+Parâmetros!C11)*(1+Parâmetros!D11))+(E11*(1+Parâmetros!C11)*(1+Parâmetros!D11)+(F11*(1+Parâmetros!D11))))/3)*(1+Parâmetros!E11)*(1+Parâmetros!E15)</f>
        <v>0</v>
      </c>
      <c r="H11" s="244">
        <f>G11*(1+Parâmetros!F11)*(1+Parâmetros!F15)</f>
        <v>0</v>
      </c>
      <c r="I11" s="244">
        <f>H11*(1+Parâmetros!G11)*(1+Parâmetros!G15)</f>
        <v>0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</row>
    <row r="12" spans="1:177" s="8" customFormat="1" ht="12.75">
      <c r="A12" s="242" t="s">
        <v>226</v>
      </c>
      <c r="B12" s="243" t="s">
        <v>410</v>
      </c>
      <c r="C12" s="85">
        <v>625992.26</v>
      </c>
      <c r="D12" s="85">
        <v>1142165.09</v>
      </c>
      <c r="E12" s="85">
        <v>1594830.1</v>
      </c>
      <c r="F12" s="85">
        <v>1230744.23</v>
      </c>
      <c r="G12" s="244">
        <f>(((D12*(1+Parâmetros!B11)*(1+Parâmetros!C11)*(1+Parâmetros!D11))+(E12*(1+Parâmetros!C11)*(1+Parâmetros!D11)+(F12*(1+Parâmetros!D11))))/3)*(1+Parâmetros!E11)*(1+Parâmetros!E15)</f>
        <v>1557622.6798560403</v>
      </c>
      <c r="H12" s="244">
        <f>G12*(1+Parâmetros!F11)*(1+Parâmetros!F15)</f>
        <v>1727922.7595203007</v>
      </c>
      <c r="I12" s="244">
        <f>H12*(1+Parâmetros!G11)*(1+Parâmetros!G15)</f>
        <v>1916686.80151283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</row>
    <row r="13" spans="1:177" s="8" customFormat="1" ht="12" customHeight="1">
      <c r="A13" s="242" t="s">
        <v>227</v>
      </c>
      <c r="B13" s="243" t="s">
        <v>228</v>
      </c>
      <c r="C13" s="85">
        <v>89297.37</v>
      </c>
      <c r="D13" s="85">
        <v>102066.63</v>
      </c>
      <c r="E13" s="85">
        <v>114427.55</v>
      </c>
      <c r="F13" s="85">
        <v>200096.75</v>
      </c>
      <c r="G13" s="244">
        <f>(((D13*(1+Parâmetros!B11)*(1+Parâmetros!C11)*(1+Parâmetros!D11))+(E13*(1+Parâmetros!C11)*(1+Parâmetros!D11)+(F13*(1+Parâmetros!D11))))/3)*(1+Parâmetros!E11)*(1+Parâmetros!E15)</f>
        <v>162789.30270862996</v>
      </c>
      <c r="H13" s="244">
        <f>G13*(1+Parâmetros!F11)*(1+Parâmetros!F15)</f>
        <v>180587.5998047735</v>
      </c>
      <c r="I13" s="244">
        <f>H13*(1+Parâmetros!G11)*(1+Parâmetros!G15)</f>
        <v>200315.59116611295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</row>
    <row r="14" spans="1:177" s="8" customFormat="1" ht="12.75">
      <c r="A14" s="242" t="s">
        <v>229</v>
      </c>
      <c r="B14" s="243" t="s">
        <v>230</v>
      </c>
      <c r="C14" s="85">
        <v>0</v>
      </c>
      <c r="D14" s="85">
        <v>0</v>
      </c>
      <c r="E14" s="85">
        <v>0</v>
      </c>
      <c r="F14" s="85">
        <v>0</v>
      </c>
      <c r="G14" s="244">
        <f>(((D14*(1+Parâmetros!B11)*(1+Parâmetros!C11)*(1+Parâmetros!D11))+(E14*(1+Parâmetros!C11)*(1+Parâmetros!D11)+(F14*(1+Parâmetros!D11))))/3)*(1+Parâmetros!E11)*(1+Parâmetros!E15)</f>
        <v>0</v>
      </c>
      <c r="H14" s="244">
        <f>G14*(1+Parâmetros!F11)*(1+Parâmetros!F15)</f>
        <v>0</v>
      </c>
      <c r="I14" s="244">
        <f>H14*(1+Parâmetros!G11)*(1+Parâmetros!G15)</f>
        <v>0</v>
      </c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</row>
    <row r="15" spans="1:177" ht="12.75">
      <c r="A15" s="239" t="s">
        <v>231</v>
      </c>
      <c r="B15" s="240" t="s">
        <v>232</v>
      </c>
      <c r="C15" s="241">
        <f aca="true" t="shared" si="3" ref="C15:I15">C16+C21+C22</f>
        <v>46453.77</v>
      </c>
      <c r="D15" s="241">
        <f t="shared" si="3"/>
        <v>36129.42</v>
      </c>
      <c r="E15" s="241">
        <f t="shared" si="3"/>
        <v>16356.82</v>
      </c>
      <c r="F15" s="241">
        <f t="shared" si="3"/>
        <v>47315.32</v>
      </c>
      <c r="G15" s="241">
        <f t="shared" si="3"/>
        <v>36890.39701232337</v>
      </c>
      <c r="H15" s="241">
        <f t="shared" si="3"/>
        <v>38711.30700885165</v>
      </c>
      <c r="I15" s="241">
        <f t="shared" si="3"/>
        <v>40701.455302176706</v>
      </c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</row>
    <row r="16" spans="1:177" ht="12.75">
      <c r="A16" s="239" t="s">
        <v>233</v>
      </c>
      <c r="B16" s="240" t="s">
        <v>234</v>
      </c>
      <c r="C16" s="241">
        <f aca="true" t="shared" si="4" ref="C16:I16">C17+C18+C19+C20</f>
        <v>0</v>
      </c>
      <c r="D16" s="241">
        <f t="shared" si="4"/>
        <v>0</v>
      </c>
      <c r="E16" s="241">
        <f t="shared" si="4"/>
        <v>0</v>
      </c>
      <c r="F16" s="241">
        <f t="shared" si="4"/>
        <v>0</v>
      </c>
      <c r="G16" s="241">
        <f t="shared" si="4"/>
        <v>0</v>
      </c>
      <c r="H16" s="241">
        <f t="shared" si="4"/>
        <v>0</v>
      </c>
      <c r="I16" s="241">
        <f t="shared" si="4"/>
        <v>0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</row>
    <row r="17" spans="1:177" ht="25.5">
      <c r="A17" s="242" t="s">
        <v>235</v>
      </c>
      <c r="B17" s="243" t="s">
        <v>395</v>
      </c>
      <c r="C17" s="85">
        <v>0</v>
      </c>
      <c r="D17" s="85">
        <v>0</v>
      </c>
      <c r="E17" s="85">
        <v>0</v>
      </c>
      <c r="F17" s="85">
        <v>0</v>
      </c>
      <c r="G17" s="244">
        <f>(((D17*(1+Parâmetros!B11)*(1+Parâmetros!C11)*(1+Parâmetros!D11))+(E17*(1+Parâmetros!C11)*(1+Parâmetros!D11)+(F17*(1+Parâmetros!D11))))/3)*(1+Parâmetros!E11)*(1+Parâmetros!E13)*(1+Parâmetros!E18)</f>
        <v>0</v>
      </c>
      <c r="H17" s="244">
        <f>G17*(1+Parâmetros!F11)*(1+Parâmetros!F13)*(1+Parâmetros!F18)</f>
        <v>0</v>
      </c>
      <c r="I17" s="244">
        <f>H17*(1+Parâmetros!G11)*(1+Parâmetros!G13)*(1+Parâmetros!G18)</f>
        <v>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</row>
    <row r="18" spans="1:177" ht="12.75">
      <c r="A18" s="242" t="s">
        <v>236</v>
      </c>
      <c r="B18" s="243" t="s">
        <v>237</v>
      </c>
      <c r="C18" s="85">
        <v>0</v>
      </c>
      <c r="D18" s="85">
        <v>0</v>
      </c>
      <c r="E18" s="85">
        <v>0</v>
      </c>
      <c r="F18" s="85">
        <v>0</v>
      </c>
      <c r="G18" s="244">
        <f>(((D18*(1+Parâmetros!B11)*(1+Parâmetros!C11)*(1+Parâmetros!D11))+(E18*(1+Parâmetros!C11)*(1+Parâmetros!D11)+(F18*(1+Parâmetros!D11))))/3)*(1+Parâmetros!E11)</f>
        <v>0</v>
      </c>
      <c r="H18" s="244">
        <f>G18*(1+Parâmetros!F11)</f>
        <v>0</v>
      </c>
      <c r="I18" s="244">
        <f>H18*(1+Parâmetros!G11)</f>
        <v>0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</row>
    <row r="19" spans="1:177" ht="12.75">
      <c r="A19" s="242" t="s">
        <v>238</v>
      </c>
      <c r="B19" s="243" t="s">
        <v>239</v>
      </c>
      <c r="C19" s="85">
        <v>0</v>
      </c>
      <c r="D19" s="85">
        <v>0</v>
      </c>
      <c r="E19" s="85">
        <v>0</v>
      </c>
      <c r="F19" s="85">
        <v>0</v>
      </c>
      <c r="G19" s="244">
        <f>(((D19*(1+Parâmetros!B11)*(1+Parâmetros!C11)*(1+Parâmetros!D11))+(E19*(1+Parâmetros!C11)*(1+Parâmetros!D11)+(F19*(1+Parâmetros!D11))))/3)*(1+Parâmetros!E11)</f>
        <v>0</v>
      </c>
      <c r="H19" s="244">
        <f>G19*(1+Parâmetros!F11)</f>
        <v>0</v>
      </c>
      <c r="I19" s="244">
        <f>H19*(1+Parâmetros!G11)</f>
        <v>0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</row>
    <row r="20" spans="1:177" ht="25.5">
      <c r="A20" s="242" t="s">
        <v>240</v>
      </c>
      <c r="B20" s="243" t="s">
        <v>241</v>
      </c>
      <c r="C20" s="85">
        <v>0</v>
      </c>
      <c r="D20" s="85">
        <v>0</v>
      </c>
      <c r="E20" s="85">
        <v>0</v>
      </c>
      <c r="F20" s="85">
        <v>0</v>
      </c>
      <c r="G20" s="244">
        <f>(((D20*(1+Parâmetros!B11)*(1+Parâmetros!C11)*(1+Parâmetros!D11))+(E20*(1+Parâmetros!C11)*(1+Parâmetros!D11)+(F20*(1+Parâmetros!D11))))/3)*(1+Parâmetros!E11)</f>
        <v>0</v>
      </c>
      <c r="H20" s="244">
        <f>G20*(1+Parâmetros!F11)</f>
        <v>0</v>
      </c>
      <c r="I20" s="244">
        <f>H20*(1+Parâmetros!G11)</f>
        <v>0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</row>
    <row r="21" spans="1:177" s="8" customFormat="1" ht="12.75">
      <c r="A21" s="242" t="s">
        <v>242</v>
      </c>
      <c r="B21" s="243" t="s">
        <v>243</v>
      </c>
      <c r="C21" s="85">
        <v>0</v>
      </c>
      <c r="D21" s="85">
        <v>0</v>
      </c>
      <c r="E21" s="85">
        <v>0</v>
      </c>
      <c r="F21" s="85">
        <v>0</v>
      </c>
      <c r="G21" s="244">
        <f>(((D21*(1+Parâmetros!B11)*(1+Parâmetros!C11)*(1+Parâmetros!D11))+(E21*(1+Parâmetros!C11)*(1+Parâmetros!D11)+(F21*(1+Parâmetros!D11))))/3)*(1+Parâmetros!E11)</f>
        <v>0</v>
      </c>
      <c r="H21" s="244">
        <f>G21*(1+Parâmetros!F11)</f>
        <v>0</v>
      </c>
      <c r="I21" s="244">
        <f>H21*(1+Parâmetros!G11)</f>
        <v>0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</row>
    <row r="22" spans="1:177" s="8" customFormat="1" ht="12.75">
      <c r="A22" s="242" t="s">
        <v>244</v>
      </c>
      <c r="B22" s="243" t="s">
        <v>245</v>
      </c>
      <c r="C22" s="85">
        <v>46453.77</v>
      </c>
      <c r="D22" s="85">
        <v>36129.42</v>
      </c>
      <c r="E22" s="85">
        <v>16356.82</v>
      </c>
      <c r="F22" s="85">
        <v>47315.32</v>
      </c>
      <c r="G22" s="244">
        <f>(((D22*(1+Parâmetros!B11)*(1+Parâmetros!C11)*(1+Parâmetros!D11))+(E22*(1+Parâmetros!C11)*(1+Parâmetros!D11)+(F22*(1+Parâmetros!D11))))/3)*(1+Parâmetros!E11)*(1+Parâmetros!E12)</f>
        <v>36890.39701232337</v>
      </c>
      <c r="H22" s="244">
        <f>G22*(1+Parâmetros!F11)*(1+Parâmetros!F12)</f>
        <v>38711.30700885165</v>
      </c>
      <c r="I22" s="244">
        <f>H22*(1+Parâmetros!G11)*(1+Parâmetros!G12)</f>
        <v>40701.455302176706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</row>
    <row r="23" spans="1:177" s="8" customFormat="1" ht="12.75">
      <c r="A23" s="239" t="s">
        <v>246</v>
      </c>
      <c r="B23" s="240" t="s">
        <v>247</v>
      </c>
      <c r="C23" s="241">
        <f aca="true" t="shared" si="5" ref="C23:I23">C24+C25+C31+C32+C33</f>
        <v>64698.65</v>
      </c>
      <c r="D23" s="241">
        <f t="shared" si="5"/>
        <v>34840.78</v>
      </c>
      <c r="E23" s="241">
        <f t="shared" si="5"/>
        <v>24330.649999999998</v>
      </c>
      <c r="F23" s="241">
        <f t="shared" si="5"/>
        <v>73890.93</v>
      </c>
      <c r="G23" s="241">
        <f t="shared" si="5"/>
        <v>48960.018057190435</v>
      </c>
      <c r="H23" s="241">
        <f t="shared" si="5"/>
        <v>51376.68454849335</v>
      </c>
      <c r="I23" s="241">
        <f t="shared" si="5"/>
        <v>54017.95990113139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</row>
    <row r="24" spans="1:177" s="8" customFormat="1" ht="12.75">
      <c r="A24" s="242" t="s">
        <v>248</v>
      </c>
      <c r="B24" s="243" t="s">
        <v>249</v>
      </c>
      <c r="C24" s="85">
        <v>0</v>
      </c>
      <c r="D24" s="85">
        <v>0</v>
      </c>
      <c r="E24" s="85">
        <v>0</v>
      </c>
      <c r="F24" s="85">
        <v>0</v>
      </c>
      <c r="G24" s="244">
        <f>(((D24*(1+Parâmetros!B11)*(1+Parâmetros!C11)*(1+Parâmetros!D11))+(E24*(1+Parâmetros!C11)*(1+Parâmetros!D11)+(F24*(1+Parâmetros!D11))))/3)*(1+Parâmetros!E11)</f>
        <v>0</v>
      </c>
      <c r="H24" s="244">
        <f>G24*(1+Parâmetros!F11)</f>
        <v>0</v>
      </c>
      <c r="I24" s="244">
        <f>H24*(1+Parâmetros!G11)</f>
        <v>0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</row>
    <row r="25" spans="1:177" s="87" customFormat="1" ht="15.75">
      <c r="A25" s="239" t="s">
        <v>250</v>
      </c>
      <c r="B25" s="240" t="s">
        <v>251</v>
      </c>
      <c r="C25" s="241">
        <f aca="true" t="shared" si="6" ref="C25:I25">C26+C27+C28+C29+C30</f>
        <v>64698.65</v>
      </c>
      <c r="D25" s="241">
        <f t="shared" si="6"/>
        <v>34840.78</v>
      </c>
      <c r="E25" s="241">
        <f t="shared" si="6"/>
        <v>24330.649999999998</v>
      </c>
      <c r="F25" s="241">
        <f t="shared" si="6"/>
        <v>73890.93</v>
      </c>
      <c r="G25" s="241">
        <f t="shared" si="6"/>
        <v>48960.018057190435</v>
      </c>
      <c r="H25" s="241">
        <f t="shared" si="6"/>
        <v>51376.68454849335</v>
      </c>
      <c r="I25" s="241">
        <f t="shared" si="6"/>
        <v>54017.95990113139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</row>
    <row r="26" spans="1:177" ht="25.5">
      <c r="A26" s="242" t="s">
        <v>252</v>
      </c>
      <c r="B26" s="243" t="s">
        <v>253</v>
      </c>
      <c r="C26" s="85">
        <v>47344.04</v>
      </c>
      <c r="D26" s="85">
        <v>24467.39</v>
      </c>
      <c r="E26" s="85">
        <v>18127.37</v>
      </c>
      <c r="F26" s="85">
        <v>53159.28</v>
      </c>
      <c r="G26" s="244">
        <f>(((D26*(1+Parâmetros!B11)*(1+Parâmetros!C11)*(1+Parâmetros!D11))+(E26*(1+Parâmetros!C11)*(1+Parâmetros!D11)+(F26*(1+Parâmetros!D11))))/3)*(1+Parâmetros!E11)*(1+Parâmetros!E12)</f>
        <v>35225.94993026411</v>
      </c>
      <c r="H26" s="244">
        <f>G26*(1+Parâmetros!F11)*(1+Parâmetros!F12)</f>
        <v>36964.70281882195</v>
      </c>
      <c r="I26" s="244">
        <f>H26*(1+Parâmetros!G11)*(1+Parâmetros!G12)</f>
        <v>38865.05819073758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</row>
    <row r="27" spans="1:177" ht="25.5">
      <c r="A27" s="242" t="s">
        <v>254</v>
      </c>
      <c r="B27" s="243" t="s">
        <v>255</v>
      </c>
      <c r="C27" s="85">
        <v>17354.61</v>
      </c>
      <c r="D27" s="85">
        <v>10373.39</v>
      </c>
      <c r="E27" s="85">
        <v>6203.28</v>
      </c>
      <c r="F27" s="85">
        <v>20731.65</v>
      </c>
      <c r="G27" s="244">
        <f>(((D27*(1+Parâmetros!B11)*(1+Parâmetros!C11)*(1+Parâmetros!D11))+(E27*(1+Parâmetros!C11)*(1+Parâmetros!D11)+(F27*(1+Parâmetros!D11))))/3)*(1+Parâmetros!E11)*(1+Parâmetros!E12)</f>
        <v>13734.068126926322</v>
      </c>
      <c r="H27" s="244">
        <f>G27*(1+Parâmetros!F11)*(1+Parâmetros!F12)</f>
        <v>14411.981729671405</v>
      </c>
      <c r="I27" s="244">
        <f>H27*(1+Parâmetros!G11)*(1+Parâmetros!G12)</f>
        <v>15152.90171039381</v>
      </c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</row>
    <row r="28" spans="1:177" ht="25.5">
      <c r="A28" s="242" t="s">
        <v>256</v>
      </c>
      <c r="B28" s="243" t="s">
        <v>257</v>
      </c>
      <c r="C28" s="85">
        <v>0</v>
      </c>
      <c r="D28" s="85">
        <v>0</v>
      </c>
      <c r="E28" s="85">
        <v>0</v>
      </c>
      <c r="F28" s="85">
        <v>0</v>
      </c>
      <c r="G28" s="244">
        <f>(((D28*(1+Parâmetros!B11)*(1+Parâmetros!C11)*(1+Parâmetros!D11))+(E28*(1+Parâmetros!C11)*(1+Parâmetros!D11)+(F28*(1+Parâmetros!D11))))/3)*(1+Parâmetros!E11)*(1+Parâmetros!E12)</f>
        <v>0</v>
      </c>
      <c r="H28" s="244">
        <f>G28*(1+Parâmetros!F11)*(1+Parâmetros!F12)</f>
        <v>0</v>
      </c>
      <c r="I28" s="244">
        <f>H28*(1+Parâmetros!G11)*(1+Parâmetros!G12)</f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</row>
    <row r="29" spans="1:177" ht="12.75">
      <c r="A29" s="242" t="s">
        <v>258</v>
      </c>
      <c r="B29" s="243" t="s">
        <v>259</v>
      </c>
      <c r="C29" s="85">
        <v>0</v>
      </c>
      <c r="D29" s="85">
        <v>0</v>
      </c>
      <c r="E29" s="85">
        <v>0</v>
      </c>
      <c r="F29" s="85">
        <v>0</v>
      </c>
      <c r="G29" s="244">
        <f>(((D29*(1+Parâmetros!B11)*(1+Parâmetros!C11)*(1+Parâmetros!D11))+(E29*(1+Parâmetros!C11)*(1+Parâmetros!D11)+(F29*(1+Parâmetros!D11))))/3)*(1+Parâmetros!E11)*(1+Parâmetros!E12)</f>
        <v>0</v>
      </c>
      <c r="H29" s="244">
        <f>G29*(1+Parâmetros!F11)*(1+Parâmetros!F12)</f>
        <v>0</v>
      </c>
      <c r="I29" s="244">
        <f>H29*(1+Parâmetros!G11)*(1+Parâmetros!G12)</f>
        <v>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</row>
    <row r="30" spans="1:177" ht="12.75">
      <c r="A30" s="242" t="s">
        <v>260</v>
      </c>
      <c r="B30" s="243" t="s">
        <v>261</v>
      </c>
      <c r="C30" s="85">
        <v>0</v>
      </c>
      <c r="D30" s="85">
        <v>0</v>
      </c>
      <c r="E30" s="85">
        <v>0</v>
      </c>
      <c r="F30" s="85">
        <v>0</v>
      </c>
      <c r="G30" s="244">
        <f>(((D30*(1+Parâmetros!B11)*(1+Parâmetros!C11)*(1+Parâmetros!D11))+(E30*(1+Parâmetros!C11)*(1+Parâmetros!D11)+(F30*(1+Parâmetros!D11))))/3)*(1+Parâmetros!E11)*(1+Parâmetros!E12)</f>
        <v>0</v>
      </c>
      <c r="H30" s="244">
        <f>G30*(1+Parâmetros!F11)*(1+Parâmetros!F12)</f>
        <v>0</v>
      </c>
      <c r="I30" s="244">
        <f>H30*(1+Parâmetros!G11)*(1+Parâmetros!G12)</f>
        <v>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</row>
    <row r="31" spans="1:177" ht="25.5">
      <c r="A31" s="242" t="s">
        <v>262</v>
      </c>
      <c r="B31" s="243" t="s">
        <v>263</v>
      </c>
      <c r="C31" s="85">
        <v>0</v>
      </c>
      <c r="D31" s="85">
        <v>0</v>
      </c>
      <c r="E31" s="85">
        <v>0</v>
      </c>
      <c r="F31" s="85">
        <v>0</v>
      </c>
      <c r="G31" s="244">
        <f>(((D31*(1+Parâmetros!B11)*(1+Parâmetros!C11)*(1+Parâmetros!D11))+(E31*(1+Parâmetros!C11)*(1+Parâmetros!D11)+(F31*(1+Parâmetros!D11))))/3)*(1+Parâmetros!E11)*(1+Parâmetros!E12)</f>
        <v>0</v>
      </c>
      <c r="H31" s="244">
        <f>G31*(1+Parâmetros!F11)*(1+Parâmetros!F12)</f>
        <v>0</v>
      </c>
      <c r="I31" s="244">
        <f>H31*(1+Parâmetros!G11)*(1+Parâmetros!G12)</f>
        <v>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</row>
    <row r="32" spans="1:177" ht="12.75">
      <c r="A32" s="242" t="s">
        <v>264</v>
      </c>
      <c r="B32" s="243" t="s">
        <v>265</v>
      </c>
      <c r="C32" s="85">
        <v>0</v>
      </c>
      <c r="D32" s="85">
        <v>0</v>
      </c>
      <c r="E32" s="85">
        <v>0</v>
      </c>
      <c r="F32" s="85">
        <v>0</v>
      </c>
      <c r="G32" s="244">
        <f>(((D32*(1+Parâmetros!B11)*(1+Parâmetros!C11)*(1+Parâmetros!D11))+(E32*(1+Parâmetros!C11)*(1+Parâmetros!D11)+(F32*(1+Parâmetros!D11))))/3)*(1+Parâmetros!E11)*(1+Parâmetros!E12)</f>
        <v>0</v>
      </c>
      <c r="H32" s="244">
        <f>G32*(1+Parâmetros!F11)*(1+Parâmetros!F12)</f>
        <v>0</v>
      </c>
      <c r="I32" s="244">
        <f>H32*(1+Parâmetros!G11)*(1+Parâmetros!G12)</f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</row>
    <row r="33" spans="1:177" ht="12.75">
      <c r="A33" s="242" t="s">
        <v>266</v>
      </c>
      <c r="B33" s="243" t="s">
        <v>267</v>
      </c>
      <c r="C33" s="85">
        <v>0</v>
      </c>
      <c r="D33" s="85">
        <v>0</v>
      </c>
      <c r="E33" s="85">
        <v>0</v>
      </c>
      <c r="F33" s="85">
        <v>0</v>
      </c>
      <c r="G33" s="244">
        <f>(((D33*(1+Parâmetros!B11)*(1+Parâmetros!C11)*(1+Parâmetros!D11))+(E33*(1+Parâmetros!C11)*(1+Parâmetros!D11)+(F33*(1+Parâmetros!D11))))/3)*(1+Parâmetros!E11)*(1+Parâmetros!E12)</f>
        <v>0</v>
      </c>
      <c r="H33" s="244">
        <f>G33*(1+Parâmetros!F11)*(1+Parâmetros!F12)</f>
        <v>0</v>
      </c>
      <c r="I33" s="244">
        <f>H33*(1+Parâmetros!G11)*(1+Parâmetros!G12)</f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</row>
    <row r="34" spans="1:177" ht="12.75">
      <c r="A34" s="242" t="s">
        <v>268</v>
      </c>
      <c r="B34" s="243" t="s">
        <v>269</v>
      </c>
      <c r="C34" s="85">
        <v>0</v>
      </c>
      <c r="D34" s="85">
        <v>0</v>
      </c>
      <c r="E34" s="85">
        <v>0</v>
      </c>
      <c r="F34" s="85">
        <v>0</v>
      </c>
      <c r="G34" s="244">
        <f>(((D34*(1+Parâmetros!B11)*(1+Parâmetros!C11)*(1+Parâmetros!D11))+(E34*(1+Parâmetros!C11)*(1+Parâmetros!D11)+(F34*(1+Parâmetros!D11))))/3)*(1+Parâmetros!E11)*(1+Parâmetros!E12)</f>
        <v>0</v>
      </c>
      <c r="H34" s="244">
        <f>G34*(1+Parâmetros!F11)*(1+Parâmetros!F12)</f>
        <v>0</v>
      </c>
      <c r="I34" s="244">
        <f>H34*(1+Parâmetros!G11)*(1+Parâmetros!G12)</f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</row>
    <row r="35" spans="1:177" ht="12.75">
      <c r="A35" s="242" t="s">
        <v>299</v>
      </c>
      <c r="B35" s="243" t="s">
        <v>300</v>
      </c>
      <c r="C35" s="85">
        <v>0</v>
      </c>
      <c r="D35" s="85">
        <v>0</v>
      </c>
      <c r="E35" s="85">
        <v>0</v>
      </c>
      <c r="F35" s="85">
        <v>0</v>
      </c>
      <c r="G35" s="244">
        <f>(((D35*(1+Parâmetros!B11)*(1+Parâmetros!C11)*(1+Parâmetros!D11))+(E35*(1+Parâmetros!C11)*(1+Parâmetros!D11)+(F35*(1+Parâmetros!D11))))/3)*(1+Parâmetros!E11)*(1+Parâmetros!E12)</f>
        <v>0</v>
      </c>
      <c r="H35" s="244">
        <f>G35*(1+Parâmetros!F11)*(1+Parâmetros!F12)</f>
        <v>0</v>
      </c>
      <c r="I35" s="244">
        <f>H35*(1+Parâmetros!G11)*(1+Parâmetros!G12)</f>
        <v>0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</row>
    <row r="36" spans="1:177" s="7" customFormat="1" ht="12.75">
      <c r="A36" s="350" t="s">
        <v>537</v>
      </c>
      <c r="B36" s="351" t="s">
        <v>270</v>
      </c>
      <c r="C36" s="352">
        <f aca="true" t="shared" si="7" ref="C36:I36">C37+C38</f>
        <v>44715.69</v>
      </c>
      <c r="D36" s="352">
        <f t="shared" si="7"/>
        <v>0</v>
      </c>
      <c r="E36" s="352">
        <f t="shared" si="7"/>
        <v>0</v>
      </c>
      <c r="F36" s="352">
        <f t="shared" si="7"/>
        <v>0</v>
      </c>
      <c r="G36" s="352">
        <f t="shared" si="7"/>
        <v>0</v>
      </c>
      <c r="H36" s="352">
        <f t="shared" si="7"/>
        <v>0</v>
      </c>
      <c r="I36" s="352">
        <f t="shared" si="7"/>
        <v>0</v>
      </c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</row>
    <row r="37" spans="1:177" ht="25.5">
      <c r="A37" s="353" t="s">
        <v>539</v>
      </c>
      <c r="B37" s="243" t="s">
        <v>540</v>
      </c>
      <c r="C37" s="85">
        <v>0</v>
      </c>
      <c r="D37" s="85">
        <v>0</v>
      </c>
      <c r="E37" s="85">
        <v>0</v>
      </c>
      <c r="F37" s="85">
        <v>0</v>
      </c>
      <c r="G37" s="241">
        <f>(((D37*(1+Parâmetros!B11)*(1+Parâmetros!C11)*(1+Parâmetros!D11))+(E37*(1+Parâmetros!C11)*(1+Parâmetros!D11)+(F37*(1+Parâmetros!D11))))/3)*(1+Parâmetros!E11)</f>
        <v>0</v>
      </c>
      <c r="H37" s="244">
        <f>G37*(1+Parâmetros!F11)</f>
        <v>0</v>
      </c>
      <c r="I37" s="244">
        <f>H37*(1+Parâmetros!G11)</f>
        <v>0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</row>
    <row r="38" spans="1:177" ht="12.75">
      <c r="A38" s="242" t="s">
        <v>537</v>
      </c>
      <c r="B38" s="243" t="s">
        <v>538</v>
      </c>
      <c r="C38" s="85">
        <v>44715.69</v>
      </c>
      <c r="D38" s="85">
        <v>0</v>
      </c>
      <c r="E38" s="85">
        <v>0</v>
      </c>
      <c r="F38" s="85">
        <v>0</v>
      </c>
      <c r="G38" s="241">
        <f>(((D38*(1+Parâmetros!B11)*(1+Parâmetros!C11)*(1+Parâmetros!D11))+(E38*(1+Parâmetros!C11)*(1+Parâmetros!D11)+(F38*(1+Parâmetros!D11))))/3)*(1+Parâmetros!E11)*(1+Parâmetros!E12)</f>
        <v>0</v>
      </c>
      <c r="H38" s="241">
        <f>G38*(1+Parâmetros!F11)*(1+Parâmetros!F12)</f>
        <v>0</v>
      </c>
      <c r="I38" s="241">
        <f>H38*(1+Parâmetros!G11)*(1+Parâmetros!G12)</f>
        <v>0</v>
      </c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</row>
    <row r="39" spans="1:177" s="7" customFormat="1" ht="12.75">
      <c r="A39" s="239" t="s">
        <v>271</v>
      </c>
      <c r="B39" s="240" t="s">
        <v>272</v>
      </c>
      <c r="C39" s="241">
        <f aca="true" t="shared" si="8" ref="C39:I39">C40+C51+C61+C62+C63+C64+C65</f>
        <v>20342444.18</v>
      </c>
      <c r="D39" s="241">
        <f t="shared" si="8"/>
        <v>20786546.94</v>
      </c>
      <c r="E39" s="241">
        <f t="shared" si="8"/>
        <v>21654129.27</v>
      </c>
      <c r="F39" s="241">
        <f t="shared" si="8"/>
        <v>24215922.809999995</v>
      </c>
      <c r="G39" s="241">
        <f t="shared" si="8"/>
        <v>25344311.7671122</v>
      </c>
      <c r="H39" s="241">
        <f t="shared" si="8"/>
        <v>27237460.054830052</v>
      </c>
      <c r="I39" s="241">
        <f t="shared" si="8"/>
        <v>29399411.98703436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</row>
    <row r="40" spans="1:177" s="7" customFormat="1" ht="12.75">
      <c r="A40" s="239" t="s">
        <v>273</v>
      </c>
      <c r="B40" s="240" t="s">
        <v>274</v>
      </c>
      <c r="C40" s="241">
        <f aca="true" t="shared" si="9" ref="C40:I40">C41+C42+C43+C44+C45+C46+C47+C48+C49+C50</f>
        <v>10123017.149999999</v>
      </c>
      <c r="D40" s="241">
        <f t="shared" si="9"/>
        <v>9928227.03</v>
      </c>
      <c r="E40" s="241">
        <f t="shared" si="9"/>
        <v>10439492.62</v>
      </c>
      <c r="F40" s="241">
        <f t="shared" si="9"/>
        <v>11985458.089999998</v>
      </c>
      <c r="G40" s="241">
        <f t="shared" si="9"/>
        <v>12285529.862396818</v>
      </c>
      <c r="H40" s="241">
        <f t="shared" si="9"/>
        <v>13154391.900224125</v>
      </c>
      <c r="I40" s="241">
        <f t="shared" si="9"/>
        <v>14151489.22003138</v>
      </c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</row>
    <row r="41" spans="1:177" ht="25.5">
      <c r="A41" s="242" t="s">
        <v>275</v>
      </c>
      <c r="B41" s="243" t="s">
        <v>276</v>
      </c>
      <c r="C41" s="85">
        <v>7496227.89</v>
      </c>
      <c r="D41" s="85">
        <v>7543934.69</v>
      </c>
      <c r="E41" s="85">
        <v>8063854.06</v>
      </c>
      <c r="F41" s="85">
        <v>9206089.29</v>
      </c>
      <c r="G41" s="244">
        <f>(((D41*(1+Parâmetros!B11)*(1+Parâmetros!C11)*(1+Parâmetros!D11))+(E41*(1+Parâmetros!C11)*(1+Parâmetros!D11)+(F41*(1+Parâmetros!D11))))/3)*(1+Parâmetros!E11)*(1+Parâmetros!E16)</f>
        <v>9476254.796264194</v>
      </c>
      <c r="H41" s="244">
        <f>G41*(1+Parâmetros!F11)*(1+Parâmetros!F16)</f>
        <v>10193451.452595854</v>
      </c>
      <c r="I41" s="244">
        <f>H41*(1+Parâmetros!G11)*(1+Parâmetros!G16)</f>
        <v>11021493.262930281</v>
      </c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</row>
    <row r="42" spans="1:177" ht="25.5">
      <c r="A42" s="242" t="s">
        <v>277</v>
      </c>
      <c r="B42" s="243" t="s">
        <v>278</v>
      </c>
      <c r="C42" s="85">
        <v>0</v>
      </c>
      <c r="D42" s="85">
        <v>0</v>
      </c>
      <c r="E42" s="85">
        <v>0</v>
      </c>
      <c r="F42" s="85">
        <v>7528.34</v>
      </c>
      <c r="G42" s="244">
        <f>(((D42*(1+Parâmetros!B11)*(1+Parâmetros!C11)*(1+Parâmetros!D11))+(E42*(1+Parâmetros!C11)*(1+Parâmetros!D11)+(F42*(1+Parâmetros!D11))))/3)*(1+Parâmetros!E11)*(1+Parâmetros!E16)</f>
        <v>2813.6270360536005</v>
      </c>
      <c r="H42" s="244">
        <f>G42*(1+Parâmetros!F11)*(1+Parâmetros!F16)</f>
        <v>3026.5723341493767</v>
      </c>
      <c r="I42" s="244">
        <f>H42*(1+Parâmetros!G11)*(1+Parâmetros!G16)</f>
        <v>3272.4290438547955</v>
      </c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</row>
    <row r="43" spans="1:177" ht="25.5">
      <c r="A43" s="242" t="s">
        <v>279</v>
      </c>
      <c r="B43" s="243" t="s">
        <v>280</v>
      </c>
      <c r="C43" s="85">
        <v>0</v>
      </c>
      <c r="D43" s="85">
        <v>0</v>
      </c>
      <c r="E43" s="85">
        <v>0</v>
      </c>
      <c r="F43" s="85">
        <v>30023.3</v>
      </c>
      <c r="G43" s="244">
        <f>(((D43*(1+Parâmetros!B11)*(1+Parâmetros!C11)*(1+Parâmetros!D11))+(E43*(1+Parâmetros!C11)*(1+Parâmetros!D11)+(F43*(1+Parâmetros!D11))))/3)*(1+Parâmetros!E11)*(1+Parâmetros!E16)</f>
        <v>11220.849296332</v>
      </c>
      <c r="H43" s="244">
        <f>G43*(1+Parâmetros!F11)*(1+Parâmetros!F16)</f>
        <v>12070.083067431462</v>
      </c>
      <c r="I43" s="244">
        <f>H43*(1+Parâmetros!G11)*(1+Parâmetros!G16)</f>
        <v>13050.56877244727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</row>
    <row r="44" spans="1:177" ht="12.75">
      <c r="A44" s="242" t="s">
        <v>281</v>
      </c>
      <c r="B44" s="243" t="s">
        <v>282</v>
      </c>
      <c r="C44" s="85">
        <v>766414.27</v>
      </c>
      <c r="D44" s="85">
        <v>815792.22</v>
      </c>
      <c r="E44" s="85">
        <v>825674.96</v>
      </c>
      <c r="F44" s="85">
        <v>769963.45</v>
      </c>
      <c r="G44" s="244">
        <f>(((D44*(1+Parâmetros!B11)*(1+Parâmetros!C11)*(1+Parâmetros!D11))+(E44*(1+Parâmetros!C11)*(1+Parâmetros!D11)+(F44*(1+Parâmetros!D11))))/3)*(1+Parâmetros!E11)*(1+Parâmetros!E16)</f>
        <v>922780.4468080158</v>
      </c>
      <c r="H44" s="244">
        <f>G44*(1+Parâmetros!F11)*(1+Parâmetros!F16)</f>
        <v>992619.7520195908</v>
      </c>
      <c r="I44" s="244">
        <f>H44*(1+Parâmetros!G11)*(1+Parâmetros!G16)</f>
        <v>1073252.9566076894</v>
      </c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</row>
    <row r="45" spans="1:177" ht="25.5">
      <c r="A45" s="242" t="s">
        <v>283</v>
      </c>
      <c r="B45" s="243" t="s">
        <v>284</v>
      </c>
      <c r="C45" s="85">
        <v>61102.78</v>
      </c>
      <c r="D45" s="85">
        <v>80370.61</v>
      </c>
      <c r="E45" s="85">
        <v>123309.59</v>
      </c>
      <c r="F45" s="85">
        <v>90461.94</v>
      </c>
      <c r="G45" s="244">
        <f>(((D45*(1+Parâmetros!B11)*(1+Parâmetros!C11)*(1+Parâmetros!D11))+(E45*(1+Parâmetros!C11)*(1+Parâmetros!D11)+(F45*(1+Parâmetros!D11))))/3)*(1+Parâmetros!E11)*(1+Parâmetros!E16)</f>
        <v>112367.5891588369</v>
      </c>
      <c r="H45" s="244">
        <f>G45*(1+Parâmetros!F11)*(1+Parâmetros!F16)</f>
        <v>120871.96783558358</v>
      </c>
      <c r="I45" s="244">
        <f>H45*(1+Parâmetros!G11)*(1+Parâmetros!G16)</f>
        <v>130690.7268232249</v>
      </c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</row>
    <row r="46" spans="1:177" ht="25.5">
      <c r="A46" s="242" t="s">
        <v>285</v>
      </c>
      <c r="B46" s="243" t="s">
        <v>286</v>
      </c>
      <c r="C46" s="85">
        <v>772881.65</v>
      </c>
      <c r="D46" s="85">
        <v>781718.76</v>
      </c>
      <c r="E46" s="85">
        <v>721264.33</v>
      </c>
      <c r="F46" s="85">
        <v>814617.12</v>
      </c>
      <c r="G46" s="244">
        <f>(((D46*(1+Parâmetros!B11)*(1+Parâmetros!C11)*(1+Parâmetros!D11))+(E46*(1+Parâmetros!C11)*(1+Parâmetros!D11)+(F46*(1+Parâmetros!D11))))/3)*(1+Parâmetros!E11)</f>
        <v>850865.8530881508</v>
      </c>
      <c r="H46" s="244">
        <f>G46*(1+Parâmetros!F11)</f>
        <v>884900.4872116769</v>
      </c>
      <c r="I46" s="244">
        <f>H46*(1+Parâmetros!G11)</f>
        <v>921181.4071873556</v>
      </c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</row>
    <row r="47" spans="1:177" ht="25.5">
      <c r="A47" s="242" t="s">
        <v>287</v>
      </c>
      <c r="B47" s="243" t="s">
        <v>288</v>
      </c>
      <c r="C47" s="85">
        <v>90946.98</v>
      </c>
      <c r="D47" s="85">
        <v>264295.06</v>
      </c>
      <c r="E47" s="85">
        <v>167742.53</v>
      </c>
      <c r="F47" s="85">
        <v>245326.39</v>
      </c>
      <c r="G47" s="244">
        <f>(((D47*(1+Parâmetros!B11)*(1+Parâmetros!C11)*(1+Parâmetros!D11))+(E47*(1+Parâmetros!C11)*(1+Parâmetros!D11)+(F47*(1+Parâmetros!D11))))/3)*(1+Parâmetros!E11)</f>
        <v>249020.9221064211</v>
      </c>
      <c r="H47" s="244">
        <f>G47*(1+Parâmetros!F11)</f>
        <v>258981.75899067795</v>
      </c>
      <c r="I47" s="244">
        <f>H47*(1+Parâmetros!G11)</f>
        <v>269600.0111092957</v>
      </c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</row>
    <row r="48" spans="1:177" ht="25.5">
      <c r="A48" s="242" t="s">
        <v>289</v>
      </c>
      <c r="B48" s="243" t="s">
        <v>290</v>
      </c>
      <c r="C48" s="85">
        <v>441745.62</v>
      </c>
      <c r="D48" s="85">
        <v>357821.1</v>
      </c>
      <c r="E48" s="85">
        <v>284624.86</v>
      </c>
      <c r="F48" s="85">
        <v>428510.27</v>
      </c>
      <c r="G48" s="244">
        <f>(((D48*(1+Parâmetros!B11)*(1+Parâmetros!C11)*(1+Parâmetros!D11))+(E48*(1+Parâmetros!C11)*(1+Parâmetros!D11)+(F48*(1+Parâmetros!D11))))/3)*(1+Parâmetros!E11)</f>
        <v>392771.71479278925</v>
      </c>
      <c r="H48" s="244">
        <f>G48*(1+Parâmetros!F11)</f>
        <v>408482.5833845008</v>
      </c>
      <c r="I48" s="244">
        <f>H48*(1+Parâmetros!G11)</f>
        <v>425230.3693032653</v>
      </c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</row>
    <row r="49" spans="1:177" ht="25.5">
      <c r="A49" s="242" t="s">
        <v>291</v>
      </c>
      <c r="B49" s="243" t="s">
        <v>292</v>
      </c>
      <c r="C49" s="85">
        <v>43604.42</v>
      </c>
      <c r="D49" s="85">
        <v>43330.2</v>
      </c>
      <c r="E49" s="85">
        <v>39692.8</v>
      </c>
      <c r="F49" s="85">
        <v>53154.72</v>
      </c>
      <c r="G49" s="244">
        <f>(((D49*(1+Parâmetros!B11)*(1+Parâmetros!C11)*(1+Parâmetros!D11))+(E49*(1+Parâmetros!C11)*(1+Parâmetros!D11)+(F49*(1+Parâmetros!D11))))/3)*(1+Parâmetros!E11)*(1+Parâmetros!E16)</f>
        <v>52007.60843202369</v>
      </c>
      <c r="H49" s="244">
        <f>G49*(1+Parâmetros!F11)*(1+Parâmetros!F16)</f>
        <v>55943.72915410034</v>
      </c>
      <c r="I49" s="244">
        <f>H49*(1+Parâmetros!G11)*(1+Parâmetros!G16)</f>
        <v>60488.19056455061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</row>
    <row r="50" spans="1:177" ht="12.75">
      <c r="A50" s="242" t="s">
        <v>293</v>
      </c>
      <c r="B50" s="243" t="s">
        <v>294</v>
      </c>
      <c r="C50" s="85">
        <v>450093.54</v>
      </c>
      <c r="D50" s="85">
        <v>40964.39</v>
      </c>
      <c r="E50" s="85">
        <v>213329.49</v>
      </c>
      <c r="F50" s="85">
        <v>339783.27</v>
      </c>
      <c r="G50" s="244">
        <f>(((D50*(1+Parâmetros!B11)*(1+Parâmetros!C11)*(1+Parâmetros!D11))+(E50*(1+Parâmetros!C11)*(1+Parâmetros!D11)+(F50*(1+Parâmetros!D11))))/3)*(1+Parâmetros!E11)</f>
        <v>215426.45541400026</v>
      </c>
      <c r="H50" s="244">
        <f>G50*(1+Parâmetros!F11)</f>
        <v>224043.51363056028</v>
      </c>
      <c r="I50" s="244">
        <f>H50*(1+Parâmetros!G11)</f>
        <v>233229.29768941324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</row>
    <row r="51" spans="1:177" s="7" customFormat="1" ht="25.5">
      <c r="A51" s="239" t="s">
        <v>295</v>
      </c>
      <c r="B51" s="240" t="s">
        <v>296</v>
      </c>
      <c r="C51" s="241">
        <f aca="true" t="shared" si="10" ref="C51:I51">C52+C53+C54+C55+C56+C57+C58+C59+C60</f>
        <v>7308938.239999998</v>
      </c>
      <c r="D51" s="241">
        <f t="shared" si="10"/>
        <v>7548421.0600000005</v>
      </c>
      <c r="E51" s="241">
        <f t="shared" si="10"/>
        <v>7803192.790000001</v>
      </c>
      <c r="F51" s="241">
        <f t="shared" si="10"/>
        <v>8720034.39</v>
      </c>
      <c r="G51" s="241">
        <f t="shared" si="10"/>
        <v>9150580.781242616</v>
      </c>
      <c r="H51" s="241">
        <f t="shared" si="10"/>
        <v>9882202.879445737</v>
      </c>
      <c r="I51" s="241">
        <f t="shared" si="10"/>
        <v>10709471.057859104</v>
      </c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</row>
    <row r="52" spans="1:177" ht="12.75">
      <c r="A52" s="242" t="s">
        <v>297</v>
      </c>
      <c r="B52" s="243" t="s">
        <v>298</v>
      </c>
      <c r="C52" s="85">
        <v>6715406.5</v>
      </c>
      <c r="D52" s="85">
        <v>6996222.21</v>
      </c>
      <c r="E52" s="85">
        <v>7214698.91</v>
      </c>
      <c r="F52" s="85">
        <v>7986333.76</v>
      </c>
      <c r="G52" s="244">
        <f>(((D52*(1+Parâmetros!B11)*(1+Parâmetros!C11)*(1+Parâmetros!D11))+(E52*(1+Parâmetros!C11)*(1+Parâmetros!D11)+(F52*(1+Parâmetros!D11))))/3)*(1+Parâmetros!E11)*(1+Parâmetros!E17)</f>
        <v>8451260.600718578</v>
      </c>
      <c r="H52" s="244">
        <f>G52*(1+Parâmetros!F11)*(1+Parâmetros!F17)</f>
        <v>9140590.488703057</v>
      </c>
      <c r="I52" s="244">
        <f>H52*(1+Parâmetros!G11)*(1+Parâmetros!G17)</f>
        <v>9920920.26123284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</row>
    <row r="53" spans="1:177" ht="12.75">
      <c r="A53" s="242" t="s">
        <v>301</v>
      </c>
      <c r="B53" s="243" t="s">
        <v>302</v>
      </c>
      <c r="C53" s="85">
        <v>135194.6</v>
      </c>
      <c r="D53" s="85">
        <v>153812.78</v>
      </c>
      <c r="E53" s="85">
        <v>192049.36</v>
      </c>
      <c r="F53" s="85">
        <v>180135.98</v>
      </c>
      <c r="G53" s="244">
        <f>(((D53*(1+Parâmetros!B11)*(1+Parâmetros!C11)*(1+Parâmetros!D11))+(E53*(1+Parâmetros!C11)*(1+Parâmetros!D11)+(F53*(1+Parâmetros!D11))))/3)*(1+Parâmetros!E11)*(1+Parâmetros!E17)</f>
        <v>200197.96468290075</v>
      </c>
      <c r="H53" s="244">
        <f>G53*(1+Parâmetros!F11)*(1+Parâmetros!F17)</f>
        <v>216527.17840491646</v>
      </c>
      <c r="I53" s="244">
        <f>H53*(1+Parâmetros!G11)*(1+Parâmetros!G17)</f>
        <v>235012.0458847632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</row>
    <row r="54" spans="1:177" ht="12.75">
      <c r="A54" s="242" t="s">
        <v>303</v>
      </c>
      <c r="B54" s="243" t="s">
        <v>304</v>
      </c>
      <c r="C54" s="85">
        <v>77467.89</v>
      </c>
      <c r="D54" s="85">
        <v>105766.27</v>
      </c>
      <c r="E54" s="85">
        <v>103400.99</v>
      </c>
      <c r="F54" s="85">
        <v>122200.82</v>
      </c>
      <c r="G54" s="244">
        <f>(((D54*(1+Parâmetros!B11)*(1+Parâmetros!C11)*(1+Parâmetros!D11))+(E54*(1+Parâmetros!C11)*(1+Parâmetros!D11)+(F54*(1+Parâmetros!D11))))/3)*(1+Parâmetros!E11)*(1+Parâmetros!E17)</f>
        <v>126156.06753294423</v>
      </c>
      <c r="H54" s="244">
        <f>G54*(1+Parâmetros!F11)*(1+Parâmetros!F17)</f>
        <v>136446.02923329134</v>
      </c>
      <c r="I54" s="244">
        <f>H54*(1+Parâmetros!G11)*(1+Parâmetros!G17)</f>
        <v>148094.3903633296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</row>
    <row r="55" spans="1:177" ht="25.5">
      <c r="A55" s="242" t="s">
        <v>305</v>
      </c>
      <c r="B55" s="243" t="s">
        <v>306</v>
      </c>
      <c r="C55" s="85">
        <v>12528.26</v>
      </c>
      <c r="D55" s="85">
        <v>17455.44</v>
      </c>
      <c r="E55" s="85">
        <v>13806.92</v>
      </c>
      <c r="F55" s="85">
        <v>16318.51</v>
      </c>
      <c r="G55" s="244">
        <f>(((D55*(1+Parâmetros!B11)*(1+Parâmetros!C11)*(1+Parâmetros!D11))+(E55*(1+Parâmetros!C11)*(1+Parâmetros!D11)+(F55*(1+Parâmetros!D11))))/3)*(1+Parâmetros!E11)*(1+Parâmetros!E17)</f>
        <v>18149.4722513737</v>
      </c>
      <c r="H55" s="244">
        <f>G55*(1+Parâmetros!F11)*(1+Parâmetros!F17)</f>
        <v>19629.840005381084</v>
      </c>
      <c r="I55" s="244">
        <f>H55*(1+Parâmetros!G11)*(1+Parâmetros!G17)</f>
        <v>21305.63421201646</v>
      </c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</row>
    <row r="56" spans="1:177" ht="12.75">
      <c r="A56" s="242" t="s">
        <v>307</v>
      </c>
      <c r="B56" s="243" t="s">
        <v>308</v>
      </c>
      <c r="C56" s="85">
        <v>0</v>
      </c>
      <c r="D56" s="85">
        <v>0</v>
      </c>
      <c r="E56" s="85">
        <v>0</v>
      </c>
      <c r="F56" s="85"/>
      <c r="G56" s="244">
        <f>(((D56*(1+Parâmetros!B11)*(1+Parâmetros!C11)*(1+Parâmetros!D11))+(E56*(1+Parâmetros!C11)*(1+Parâmetros!D11)+(F56*(1+Parâmetros!D11))))/3)*(1+Parâmetros!E11)</f>
        <v>0</v>
      </c>
      <c r="H56" s="244">
        <f>G56*(1+Parâmetros!F11)</f>
        <v>0</v>
      </c>
      <c r="I56" s="244">
        <f>H56*(1+Parâmetros!G11)</f>
        <v>0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</row>
    <row r="57" spans="1:177" ht="12.75">
      <c r="A57" s="242" t="s">
        <v>309</v>
      </c>
      <c r="B57" s="243" t="s">
        <v>310</v>
      </c>
      <c r="C57" s="85">
        <v>358680.1</v>
      </c>
      <c r="D57" s="85">
        <v>267228.08</v>
      </c>
      <c r="E57" s="85">
        <v>265857.58</v>
      </c>
      <c r="F57" s="85">
        <v>404346.33</v>
      </c>
      <c r="G57" s="244">
        <f>(((D57*(1+Parâmetros!B11)*(1+Parâmetros!C11)*(1+Parâmetros!D11))+(E57*(1+Parâmetros!C11)*(1+Parâmetros!D11)+(F57*(1+Parâmetros!D11))))/3)*(1+Parâmetros!E11)</f>
        <v>343090.4328095812</v>
      </c>
      <c r="H57" s="244">
        <f>G57*(1+Parâmetros!F11)</f>
        <v>356814.0501219645</v>
      </c>
      <c r="I57" s="244">
        <f>H57*(1+Parâmetros!G11)</f>
        <v>371443.426176965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</row>
    <row r="58" spans="1:177" ht="25.5">
      <c r="A58" s="242" t="s">
        <v>311</v>
      </c>
      <c r="B58" s="243" t="s">
        <v>312</v>
      </c>
      <c r="C58" s="85">
        <v>9660.89</v>
      </c>
      <c r="D58" s="85">
        <v>7936.28</v>
      </c>
      <c r="E58" s="85">
        <v>13379.03</v>
      </c>
      <c r="F58" s="85">
        <v>10698.99</v>
      </c>
      <c r="G58" s="244">
        <f>(((D58*(1+Parâmetros!B11)*(1+Parâmetros!C11)*(1+Parâmetros!D11))+(E58*(1+Parâmetros!C11)*(1+Parâmetros!D11)+(F58*(1+Parâmetros!D11))))/3)*(1+Parâmetros!E11)</f>
        <v>11726.243247236547</v>
      </c>
      <c r="H58" s="244">
        <f>G58*(1+Parâmetros!F11)</f>
        <v>12195.29297712601</v>
      </c>
      <c r="I58" s="244">
        <f>H58*(1+Parâmetros!G11)</f>
        <v>12695.299989188175</v>
      </c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</row>
    <row r="59" spans="1:177" ht="25.5">
      <c r="A59" s="242" t="s">
        <v>313</v>
      </c>
      <c r="B59" s="243" t="s">
        <v>314</v>
      </c>
      <c r="C59" s="85">
        <v>0</v>
      </c>
      <c r="D59" s="85">
        <v>0</v>
      </c>
      <c r="E59" s="85">
        <v>0</v>
      </c>
      <c r="F59" s="85">
        <v>0</v>
      </c>
      <c r="G59" s="244">
        <f>(((D59*(1+Parâmetros!B11)*(1+Parâmetros!C11)*(1+Parâmetros!D11))+(E59*(1+Parâmetros!C11)*(1+Parâmetros!D11)+(F59*(1+Parâmetros!D11))))/3)*(1+Parâmetros!E11)</f>
        <v>0</v>
      </c>
      <c r="H59" s="244">
        <f>G59*(1+Parâmetros!F11)</f>
        <v>0</v>
      </c>
      <c r="I59" s="244">
        <f>H59*(1+Parâmetros!G11)</f>
        <v>0</v>
      </c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</row>
    <row r="60" spans="1:177" ht="12.75">
      <c r="A60" s="242" t="s">
        <v>315</v>
      </c>
      <c r="B60" s="243" t="s">
        <v>310</v>
      </c>
      <c r="C60" s="85">
        <v>0</v>
      </c>
      <c r="D60" s="85">
        <v>0</v>
      </c>
      <c r="E60" s="85">
        <v>0</v>
      </c>
      <c r="F60" s="85">
        <v>0</v>
      </c>
      <c r="G60" s="244">
        <f>(((D60*(1+Parâmetros!B11)*(1+Parâmetros!C11)*(1+Parâmetros!D11))+(E60*(1+Parâmetros!C11)*(1+Parâmetros!D11)+(F60*(1+Parâmetros!D11))))/3)*(1+Parâmetros!E11)</f>
        <v>0</v>
      </c>
      <c r="H60" s="244">
        <f>G60*(1+Parâmetros!F11)</f>
        <v>0</v>
      </c>
      <c r="I60" s="244">
        <f>H60*(1+Parâmetros!G11)</f>
        <v>0</v>
      </c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</row>
    <row r="61" spans="1:177" ht="12.75">
      <c r="A61" s="242" t="s">
        <v>316</v>
      </c>
      <c r="B61" s="243" t="s">
        <v>317</v>
      </c>
      <c r="C61" s="85">
        <v>0</v>
      </c>
      <c r="D61" s="85">
        <v>0</v>
      </c>
      <c r="E61" s="85">
        <v>0</v>
      </c>
      <c r="F61" s="85">
        <v>0</v>
      </c>
      <c r="G61" s="244">
        <f>(((D61*(1+Parâmetros!B11)*(1+Parâmetros!C11)*(1+Parâmetros!D11))+(E61*(1+Parâmetros!C11)*(1+Parâmetros!D11)+(F61*(1+Parâmetros!D11))))/3)*(1+Parâmetros!E11)</f>
        <v>0</v>
      </c>
      <c r="H61" s="244">
        <f>G61*(1+Parâmetros!F11)</f>
        <v>0</v>
      </c>
      <c r="I61" s="244">
        <f>H61*(1+Parâmetros!G11)</f>
        <v>0</v>
      </c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</row>
    <row r="62" spans="1:177" ht="12.75">
      <c r="A62" s="242" t="s">
        <v>318</v>
      </c>
      <c r="B62" s="243" t="s">
        <v>319</v>
      </c>
      <c r="C62" s="85">
        <v>0</v>
      </c>
      <c r="D62" s="85">
        <v>0</v>
      </c>
      <c r="E62" s="85">
        <v>0</v>
      </c>
      <c r="F62" s="85">
        <v>0</v>
      </c>
      <c r="G62" s="244">
        <f>(((D62*(1+Parâmetros!B11)*(1+Parâmetros!C11)*(1+Parâmetros!D11))+(E62*(1+Parâmetros!C11)*(1+Parâmetros!D11)+(F62*(1+Parâmetros!D11))))/3)*(1+Parâmetros!E11)</f>
        <v>0</v>
      </c>
      <c r="H62" s="244">
        <f>G62*(1+Parâmetros!F11)</f>
        <v>0</v>
      </c>
      <c r="I62" s="244">
        <f>H62*(1+Parâmetros!G11)</f>
        <v>0</v>
      </c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</row>
    <row r="63" spans="1:177" ht="12.75">
      <c r="A63" s="242" t="s">
        <v>414</v>
      </c>
      <c r="B63" s="243" t="s">
        <v>415</v>
      </c>
      <c r="C63" s="85">
        <v>2701487.94</v>
      </c>
      <c r="D63" s="85">
        <v>3077723.75</v>
      </c>
      <c r="E63" s="85">
        <v>3411443.86</v>
      </c>
      <c r="F63" s="85">
        <v>3510430.33</v>
      </c>
      <c r="G63" s="244">
        <f>(((D63*(1+Parâmetros!B11)*(1+Parâmetros!C11)*(1+Parâmetros!D11))+(E63*(1+Parâmetros!C11)*(1+Parâmetros!D11)+(F63*(1+Parâmetros!D11))))/3)*(1+Parâmetros!E11)*(1+Parâmetros!E16)</f>
        <v>3820698.4877461153</v>
      </c>
      <c r="H63" s="244">
        <f>G63*(1+Parâmetros!F11)*(1+Parâmetros!F16)</f>
        <v>4109862.534004476</v>
      </c>
      <c r="I63" s="244">
        <f>H63*(1+Parâmetros!G11)*(1+Parâmetros!G16)</f>
        <v>4443717.85560078</v>
      </c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</row>
    <row r="64" spans="1:177" ht="12.75">
      <c r="A64" s="242" t="s">
        <v>321</v>
      </c>
      <c r="B64" s="243" t="s">
        <v>322</v>
      </c>
      <c r="C64" s="489">
        <v>209000.85</v>
      </c>
      <c r="D64" s="489">
        <v>232175.1</v>
      </c>
      <c r="E64" s="485">
        <v>0</v>
      </c>
      <c r="F64" s="85">
        <v>0</v>
      </c>
      <c r="G64" s="244">
        <f>(((D64*(1+Parâmetros!B11)*(1+Parâmetros!C11)*(1+Parâmetros!D11))+(E64*(1+Parâmetros!C11)*(1+Parâmetros!D11)+(F64*(1+Parâmetros!D11))))/3)*(1+Parâmetros!E11)</f>
        <v>87502.63572664848</v>
      </c>
      <c r="H64" s="244">
        <f>G64*(1+Parâmetros!F11)</f>
        <v>91002.74115571442</v>
      </c>
      <c r="I64" s="244">
        <f>H64*(1+Parâmetros!G11)</f>
        <v>94733.85354309871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</row>
    <row r="65" spans="1:177" ht="12.75">
      <c r="A65" s="242" t="s">
        <v>323</v>
      </c>
      <c r="B65" s="243" t="s">
        <v>324</v>
      </c>
      <c r="C65" s="85"/>
      <c r="D65" s="85">
        <v>0</v>
      </c>
      <c r="E65" s="85">
        <v>0</v>
      </c>
      <c r="F65" s="85">
        <v>0</v>
      </c>
      <c r="G65" s="244">
        <f>(((D65*(1+Parâmetros!B11)*(1+Parâmetros!C11)*(1+Parâmetros!D11))+(E65*(1+Parâmetros!C11)*(1+Parâmetros!D11)+(F65*(1+Parâmetros!D11))))/3)*(1+Parâmetros!E11)</f>
        <v>0</v>
      </c>
      <c r="H65" s="244">
        <f>G65*(1+Parâmetros!F11)</f>
        <v>0</v>
      </c>
      <c r="I65" s="244">
        <f>H65*(1+Parâmetros!G11)</f>
        <v>0</v>
      </c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</row>
    <row r="66" spans="1:177" s="7" customFormat="1" ht="12.75">
      <c r="A66" s="239" t="s">
        <v>325</v>
      </c>
      <c r="B66" s="240" t="s">
        <v>326</v>
      </c>
      <c r="C66" s="241">
        <f aca="true" t="shared" si="11" ref="C66:I66">C67+C68+C71</f>
        <v>491136.37</v>
      </c>
      <c r="D66" s="241">
        <f t="shared" si="11"/>
        <v>502876.76</v>
      </c>
      <c r="E66" s="241">
        <f t="shared" si="11"/>
        <v>196147.64</v>
      </c>
      <c r="F66" s="241">
        <f t="shared" si="11"/>
        <v>645226.4</v>
      </c>
      <c r="G66" s="241">
        <f t="shared" si="11"/>
        <v>492817.8027229093</v>
      </c>
      <c r="H66" s="241">
        <f t="shared" si="11"/>
        <v>512530.5148318257</v>
      </c>
      <c r="I66" s="241">
        <f t="shared" si="11"/>
        <v>533544.2659399305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</row>
    <row r="67" spans="1:177" ht="12.75">
      <c r="A67" s="242" t="s">
        <v>327</v>
      </c>
      <c r="B67" s="243" t="s">
        <v>328</v>
      </c>
      <c r="C67" s="85">
        <v>0</v>
      </c>
      <c r="D67" s="85">
        <v>0</v>
      </c>
      <c r="E67" s="85">
        <v>0</v>
      </c>
      <c r="F67" s="85">
        <v>0</v>
      </c>
      <c r="G67" s="244">
        <f>(((D67*(1+Parâmetros!B11)*(1+Parâmetros!C11)*(1+Parâmetros!D11))+(E67*(1+Parâmetros!C11)*(1+Parâmetros!D11)+(F67*(1+Parâmetros!D11))))/3)*(1+Parâmetros!E11)</f>
        <v>0</v>
      </c>
      <c r="H67" s="244">
        <f>G67*(1+Parâmetros!F11)</f>
        <v>0</v>
      </c>
      <c r="I67" s="244">
        <f>H67*(1+Parâmetros!G11)</f>
        <v>0</v>
      </c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</row>
    <row r="68" spans="1:177" ht="12.75">
      <c r="A68" s="354" t="s">
        <v>329</v>
      </c>
      <c r="B68" s="355" t="s">
        <v>330</v>
      </c>
      <c r="C68" s="356">
        <f aca="true" t="shared" si="12" ref="C68:I68">C69+C70</f>
        <v>0</v>
      </c>
      <c r="D68" s="356">
        <f t="shared" si="12"/>
        <v>0</v>
      </c>
      <c r="E68" s="356">
        <f t="shared" si="12"/>
        <v>0</v>
      </c>
      <c r="F68" s="356">
        <f t="shared" si="12"/>
        <v>0</v>
      </c>
      <c r="G68" s="356">
        <f t="shared" si="12"/>
        <v>0</v>
      </c>
      <c r="H68" s="356">
        <f t="shared" si="12"/>
        <v>0</v>
      </c>
      <c r="I68" s="356">
        <f t="shared" si="12"/>
        <v>0</v>
      </c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</row>
    <row r="69" spans="1:177" ht="12.75">
      <c r="A69" s="242" t="s">
        <v>541</v>
      </c>
      <c r="B69" s="243" t="s">
        <v>542</v>
      </c>
      <c r="C69" s="85"/>
      <c r="D69" s="85">
        <v>0</v>
      </c>
      <c r="E69" s="85">
        <v>0</v>
      </c>
      <c r="F69" s="85">
        <v>0</v>
      </c>
      <c r="G69" s="356">
        <f>(((D69*(1+Parâmetros!B11)*(1+Parâmetros!C11)*(1+Parâmetros!D11))+(E69*(1+Parâmetros!C11)*(1+Parâmetros!D11)+(F69*(1+Parâmetros!D11))))/3)*(1+Parâmetros!E11)</f>
        <v>0</v>
      </c>
      <c r="H69" s="356">
        <f>G69*(1+Parâmetros!F11)</f>
        <v>0</v>
      </c>
      <c r="I69" s="356">
        <f>H69*(1+Parâmetros!G11)</f>
        <v>0</v>
      </c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</row>
    <row r="70" spans="1:177" ht="12.75">
      <c r="A70" s="242" t="s">
        <v>543</v>
      </c>
      <c r="B70" s="243" t="s">
        <v>544</v>
      </c>
      <c r="C70" s="85"/>
      <c r="D70" s="85">
        <v>0</v>
      </c>
      <c r="E70" s="85">
        <v>0</v>
      </c>
      <c r="F70" s="85">
        <v>0</v>
      </c>
      <c r="G70" s="356">
        <f>(((D70*(1+Parâmetros!B11)*(1+Parâmetros!C11)*(1+Parâmetros!D11))+(E70*(1+Parâmetros!C11)*(1+Parâmetros!D11)+(F70*(1+Parâmetros!D11))))/3)*(1+Parâmetros!E11)</f>
        <v>0</v>
      </c>
      <c r="H70" s="356">
        <f>G70*(1+Parâmetros!F11)</f>
        <v>0</v>
      </c>
      <c r="I70" s="356">
        <f>H70*(1+Parâmetros!G11)</f>
        <v>0</v>
      </c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</row>
    <row r="71" spans="1:177" s="7" customFormat="1" ht="12.75">
      <c r="A71" s="239" t="s">
        <v>331</v>
      </c>
      <c r="B71" s="240" t="s">
        <v>332</v>
      </c>
      <c r="C71" s="241">
        <f aca="true" t="shared" si="13" ref="C71:I71">C72+C73+C74+C75+C76+C77</f>
        <v>491136.37</v>
      </c>
      <c r="D71" s="241">
        <f t="shared" si="13"/>
        <v>502876.76</v>
      </c>
      <c r="E71" s="241">
        <f t="shared" si="13"/>
        <v>196147.64</v>
      </c>
      <c r="F71" s="241">
        <f t="shared" si="13"/>
        <v>645226.4</v>
      </c>
      <c r="G71" s="241">
        <f t="shared" si="13"/>
        <v>492817.8027229093</v>
      </c>
      <c r="H71" s="241">
        <f t="shared" si="13"/>
        <v>512530.5148318257</v>
      </c>
      <c r="I71" s="241">
        <f t="shared" si="13"/>
        <v>533544.2659399305</v>
      </c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  <c r="FO71" s="83"/>
      <c r="FP71" s="83"/>
      <c r="FQ71" s="83"/>
      <c r="FR71" s="83"/>
      <c r="FS71" s="83"/>
      <c r="FT71" s="83"/>
      <c r="FU71" s="83"/>
    </row>
    <row r="72" spans="1:177" ht="25.5">
      <c r="A72" s="242" t="s">
        <v>333</v>
      </c>
      <c r="B72" s="243" t="s">
        <v>334</v>
      </c>
      <c r="C72" s="85">
        <v>0</v>
      </c>
      <c r="D72" s="85">
        <v>0</v>
      </c>
      <c r="E72" s="85">
        <v>0</v>
      </c>
      <c r="F72" s="85">
        <v>0</v>
      </c>
      <c r="G72" s="244">
        <f>(((D72*(1+Parâmetros!B11)*(1+Parâmetros!C11)*(1+Parâmetros!D11))+(E72*(1+Parâmetros!C11)*(1+Parâmetros!D11)+(F72*(1+Parâmetros!D11))))/3)*(1+Parâmetros!E11)</f>
        <v>0</v>
      </c>
      <c r="H72" s="244">
        <f>G72*(1+Parâmetros!F11)</f>
        <v>0</v>
      </c>
      <c r="I72" s="244">
        <f>H72*(1+Parâmetros!G11)</f>
        <v>0</v>
      </c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</row>
    <row r="73" spans="1:177" ht="12.75">
      <c r="A73" s="242" t="s">
        <v>335</v>
      </c>
      <c r="B73" s="243" t="s">
        <v>336</v>
      </c>
      <c r="C73" s="85"/>
      <c r="D73" s="85"/>
      <c r="E73" s="85"/>
      <c r="F73" s="85"/>
      <c r="G73" s="244">
        <f>(((D73*(1+Parâmetros!B11)*(1+Parâmetros!C11)*(1+Parâmetros!D11))+(E73*(1+Parâmetros!C11)*(1+Parâmetros!D11)+(F73*(1+Parâmetros!D11))))/3)*(1+Parâmetros!E11)</f>
        <v>0</v>
      </c>
      <c r="H73" s="244">
        <f>G73*(1+Parâmetros!F11)</f>
        <v>0</v>
      </c>
      <c r="I73" s="244">
        <f>H73*(1+Parâmetros!G11)</f>
        <v>0</v>
      </c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</row>
    <row r="74" spans="1:177" ht="12.75">
      <c r="A74" s="242" t="s">
        <v>545</v>
      </c>
      <c r="B74" s="243" t="s">
        <v>546</v>
      </c>
      <c r="C74" s="85">
        <v>0</v>
      </c>
      <c r="D74" s="85">
        <v>0</v>
      </c>
      <c r="E74" s="85">
        <v>0</v>
      </c>
      <c r="F74" s="85">
        <v>0</v>
      </c>
      <c r="G74" s="244">
        <f>((C74+D74+E74+F74)/4)/Parâmetros!D22*Parâmetros!E22</f>
        <v>0</v>
      </c>
      <c r="H74" s="244">
        <f>((D74+E74+F74+G74)/4)/Parâmetros!E22*Parâmetros!F22</f>
        <v>0</v>
      </c>
      <c r="I74" s="244">
        <f>((E74+F74+G74+H74)/4)/Parâmetros!F22*Parâmetros!G22</f>
        <v>0</v>
      </c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</row>
    <row r="75" spans="1:177" ht="25.5">
      <c r="A75" s="242" t="s">
        <v>337</v>
      </c>
      <c r="B75" s="243" t="s">
        <v>338</v>
      </c>
      <c r="C75" s="85">
        <v>0</v>
      </c>
      <c r="D75" s="85">
        <v>0</v>
      </c>
      <c r="E75" s="85">
        <v>0</v>
      </c>
      <c r="F75" s="85">
        <v>0</v>
      </c>
      <c r="G75" s="244">
        <f>(((D75*(1+Parâmetros!B11)*(1+Parâmetros!C11)*(1+Parâmetros!D11))+(E75*(1+Parâmetros!C11)*(1+Parâmetros!D11)+(F75*(1+Parâmetros!D11))))/3)*(1+Parâmetros!E11)</f>
        <v>0</v>
      </c>
      <c r="H75" s="244">
        <f>G75*(1+Parâmetros!F11)</f>
        <v>0</v>
      </c>
      <c r="I75" s="244">
        <f>H75*(1+Parâmetros!G11)</f>
        <v>0</v>
      </c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</row>
    <row r="76" spans="1:177" ht="12.75">
      <c r="A76" s="242" t="s">
        <v>547</v>
      </c>
      <c r="B76" s="243" t="s">
        <v>548</v>
      </c>
      <c r="C76" s="85">
        <v>0</v>
      </c>
      <c r="D76" s="85">
        <v>0</v>
      </c>
      <c r="E76" s="85">
        <v>0</v>
      </c>
      <c r="F76" s="85">
        <v>0</v>
      </c>
      <c r="G76" s="244">
        <f>((C76+D76+E76+F76)/4)*(1+Parâmetros!E11)</f>
        <v>0</v>
      </c>
      <c r="H76" s="244">
        <f>((D76+E76+F76+G76)/4)*(1+Parâmetros!F11)</f>
        <v>0</v>
      </c>
      <c r="I76" s="244">
        <f>((E76+F76+G76+H76)/4)*(1+Parâmetros!G11)</f>
        <v>0</v>
      </c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</row>
    <row r="77" spans="1:177" ht="12.75">
      <c r="A77" s="242" t="s">
        <v>339</v>
      </c>
      <c r="B77" s="243" t="s">
        <v>549</v>
      </c>
      <c r="C77" s="85">
        <v>491136.37</v>
      </c>
      <c r="D77" s="85">
        <v>502876.76</v>
      </c>
      <c r="E77" s="85">
        <v>196147.64</v>
      </c>
      <c r="F77" s="85">
        <v>645226.4</v>
      </c>
      <c r="G77" s="244">
        <f>(((D77*(1+Parâmetros!B11)*(1+Parâmetros!C11)*(1+Parâmetros!D11))+(E77*(1+Parâmetros!C11)*(1+Parâmetros!D11)+(F77*(1+Parâmetros!D11))))/3)*(1+Parâmetros!E11)</f>
        <v>492817.8027229093</v>
      </c>
      <c r="H77" s="244">
        <f>G77*(1+Parâmetros!F11)</f>
        <v>512530.5148318257</v>
      </c>
      <c r="I77" s="244">
        <f>H77*(1+Parâmetros!G11)</f>
        <v>533544.2659399305</v>
      </c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</row>
    <row r="78" spans="1:177" s="10" customFormat="1" ht="18">
      <c r="A78" s="239" t="s">
        <v>340</v>
      </c>
      <c r="B78" s="240" t="s">
        <v>341</v>
      </c>
      <c r="C78" s="241">
        <f aca="true" t="shared" si="14" ref="C78:I78">C79+C80+C85+C86+C94</f>
        <v>12048.33</v>
      </c>
      <c r="D78" s="241">
        <f t="shared" si="14"/>
        <v>33960.85</v>
      </c>
      <c r="E78" s="241">
        <f t="shared" si="14"/>
        <v>42497.56</v>
      </c>
      <c r="F78" s="241">
        <f t="shared" si="14"/>
        <v>20698.07</v>
      </c>
      <c r="G78" s="241">
        <f t="shared" si="14"/>
        <v>35778.790484140074</v>
      </c>
      <c r="H78" s="241">
        <f t="shared" si="14"/>
        <v>37209.94210350568</v>
      </c>
      <c r="I78" s="241">
        <f t="shared" si="14"/>
        <v>38735.54972974941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</row>
    <row r="79" spans="1:9" s="86" customFormat="1" ht="12.75">
      <c r="A79" s="242" t="s">
        <v>342</v>
      </c>
      <c r="B79" s="243" t="s">
        <v>343</v>
      </c>
      <c r="C79" s="85">
        <v>0</v>
      </c>
      <c r="D79" s="85">
        <v>0</v>
      </c>
      <c r="E79" s="85"/>
      <c r="F79" s="85"/>
      <c r="G79" s="244">
        <f>Dívida!E20</f>
        <v>0</v>
      </c>
      <c r="H79" s="244">
        <f>Dívida!F20</f>
        <v>0</v>
      </c>
      <c r="I79" s="244">
        <f>Dívida!G20</f>
        <v>0</v>
      </c>
    </row>
    <row r="80" spans="1:177" s="7" customFormat="1" ht="12.75">
      <c r="A80" s="239" t="s">
        <v>344</v>
      </c>
      <c r="B80" s="240" t="s">
        <v>345</v>
      </c>
      <c r="C80" s="241">
        <f aca="true" t="shared" si="15" ref="C80:I80">C81+C82+C83+C84</f>
        <v>12048.33</v>
      </c>
      <c r="D80" s="241">
        <f t="shared" si="15"/>
        <v>33960.85</v>
      </c>
      <c r="E80" s="241">
        <f t="shared" si="15"/>
        <v>42497.56</v>
      </c>
      <c r="F80" s="241">
        <f t="shared" si="15"/>
        <v>20698.07</v>
      </c>
      <c r="G80" s="241">
        <f t="shared" si="15"/>
        <v>35778.790484140074</v>
      </c>
      <c r="H80" s="241">
        <f t="shared" si="15"/>
        <v>37209.94210350568</v>
      </c>
      <c r="I80" s="241">
        <f t="shared" si="15"/>
        <v>38735.54972974941</v>
      </c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</row>
    <row r="81" spans="1:177" s="7" customFormat="1" ht="12.75">
      <c r="A81" s="242" t="s">
        <v>551</v>
      </c>
      <c r="B81" s="243" t="s">
        <v>552</v>
      </c>
      <c r="C81" s="357">
        <v>0</v>
      </c>
      <c r="D81" s="357">
        <v>0</v>
      </c>
      <c r="E81" s="357">
        <v>0</v>
      </c>
      <c r="F81" s="357">
        <v>0</v>
      </c>
      <c r="G81" s="244">
        <f>((C81+D81+E81+F81)/4)*(1+Parâmetros!E11)</f>
        <v>0</v>
      </c>
      <c r="H81" s="244">
        <f>((D81+E81+F81+G81)/4)*(1+Parâmetros!F11)</f>
        <v>0</v>
      </c>
      <c r="I81" s="244">
        <f>((E81+F81+G81+H81)/4)*(1+Parâmetros!G11)</f>
        <v>0</v>
      </c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</row>
    <row r="82" spans="1:177" s="7" customFormat="1" ht="12.75">
      <c r="A82" s="242" t="s">
        <v>553</v>
      </c>
      <c r="B82" s="243" t="s">
        <v>554</v>
      </c>
      <c r="C82" s="357">
        <v>0</v>
      </c>
      <c r="D82" s="357">
        <v>0</v>
      </c>
      <c r="E82" s="357">
        <v>0</v>
      </c>
      <c r="F82" s="357">
        <v>0</v>
      </c>
      <c r="G82" s="244">
        <f>((C82+D82+E82+F82)/4)*(1+Parâmetros!E11)</f>
        <v>0</v>
      </c>
      <c r="H82" s="244">
        <f>((D82+E82+F82+G82)/4)*(1+Parâmetros!F11)</f>
        <v>0</v>
      </c>
      <c r="I82" s="244">
        <f>((E82+F82+G82+H82)/4)*(1+Parâmetros!G11)</f>
        <v>0</v>
      </c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  <c r="FL82" s="83"/>
      <c r="FM82" s="83"/>
      <c r="FN82" s="83"/>
      <c r="FO82" s="83"/>
      <c r="FP82" s="83"/>
      <c r="FQ82" s="83"/>
      <c r="FR82" s="83"/>
      <c r="FS82" s="83"/>
      <c r="FT82" s="83"/>
      <c r="FU82" s="83"/>
    </row>
    <row r="83" spans="1:9" s="86" customFormat="1" ht="12.75">
      <c r="A83" s="242" t="s">
        <v>346</v>
      </c>
      <c r="B83" s="243" t="s">
        <v>347</v>
      </c>
      <c r="C83" s="85">
        <v>0</v>
      </c>
      <c r="D83" s="85">
        <v>0</v>
      </c>
      <c r="E83" s="85">
        <v>0</v>
      </c>
      <c r="F83" s="85">
        <v>0</v>
      </c>
      <c r="G83" s="244">
        <f>(((D83*(1+Parâmetros!B11)*(1+Parâmetros!C11)*(1+Parâmetros!D11))+(E83*(1+Parâmetros!C11)*(1+Parâmetros!D11)+(F83*(1+Parâmetros!D11))))/3)*(1+Parâmetros!E11)</f>
        <v>0</v>
      </c>
      <c r="H83" s="244">
        <f>G83*(1+Parâmetros!F11)</f>
        <v>0</v>
      </c>
      <c r="I83" s="244">
        <f>H83*(1+Parâmetros!G11)</f>
        <v>0</v>
      </c>
    </row>
    <row r="84" spans="1:9" s="86" customFormat="1" ht="12.75">
      <c r="A84" s="242" t="s">
        <v>348</v>
      </c>
      <c r="B84" s="243" t="s">
        <v>349</v>
      </c>
      <c r="C84" s="85">
        <v>12048.33</v>
      </c>
      <c r="D84" s="85">
        <v>33960.85</v>
      </c>
      <c r="E84" s="489">
        <v>42497.56</v>
      </c>
      <c r="F84" s="85">
        <v>20698.07</v>
      </c>
      <c r="G84" s="244">
        <f>(((D84*(1+Parâmetros!B11)*(1+Parâmetros!C11)*(1+Parâmetros!D11))+(E84*(1+Parâmetros!C11)*(1+Parâmetros!D11)+(F84*(1+Parâmetros!D11))))/3)*(1+Parâmetros!E11)</f>
        <v>35778.790484140074</v>
      </c>
      <c r="H84" s="244">
        <f>G84*(1+Parâmetros!F11)</f>
        <v>37209.94210350568</v>
      </c>
      <c r="I84" s="244">
        <f>H84*(1+Parâmetros!G11)</f>
        <v>38735.54972974941</v>
      </c>
    </row>
    <row r="85" spans="1:9" s="86" customFormat="1" ht="12.75">
      <c r="A85" s="242" t="s">
        <v>350</v>
      </c>
      <c r="B85" s="243" t="s">
        <v>351</v>
      </c>
      <c r="C85" s="85">
        <v>0</v>
      </c>
      <c r="D85" s="85">
        <v>0</v>
      </c>
      <c r="E85" s="85">
        <v>0</v>
      </c>
      <c r="F85" s="85">
        <v>0</v>
      </c>
      <c r="G85" s="244">
        <f>(((D85*(1+Parâmetros!B11)*(1+Parâmetros!C11)*(1+Parâmetros!D11))+(E85*(1+Parâmetros!C11)*(1+Parâmetros!D11)+(F85*(1+Parâmetros!D11))))/3)*(1+Parâmetros!E11)</f>
        <v>0</v>
      </c>
      <c r="H85" s="244">
        <f>G85*(1+Parâmetros!F11)</f>
        <v>0</v>
      </c>
      <c r="I85" s="244">
        <f>H85*(1+Parâmetros!G11)</f>
        <v>0</v>
      </c>
    </row>
    <row r="86" spans="1:177" s="7" customFormat="1" ht="12.75">
      <c r="A86" s="239" t="s">
        <v>352</v>
      </c>
      <c r="B86" s="240" t="s">
        <v>353</v>
      </c>
      <c r="C86" s="241">
        <f aca="true" t="shared" si="16" ref="C86:I86">C87+C88+C89+C90+C91+C92+C93</f>
        <v>0</v>
      </c>
      <c r="D86" s="241">
        <f t="shared" si="16"/>
        <v>0</v>
      </c>
      <c r="E86" s="241">
        <f t="shared" si="16"/>
        <v>0</v>
      </c>
      <c r="F86" s="241">
        <f t="shared" si="16"/>
        <v>0</v>
      </c>
      <c r="G86" s="241">
        <f t="shared" si="16"/>
        <v>0</v>
      </c>
      <c r="H86" s="241">
        <f t="shared" si="16"/>
        <v>0</v>
      </c>
      <c r="I86" s="241">
        <f t="shared" si="16"/>
        <v>0</v>
      </c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  <c r="FO86" s="83"/>
      <c r="FP86" s="83"/>
      <c r="FQ86" s="83"/>
      <c r="FR86" s="83"/>
      <c r="FS86" s="83"/>
      <c r="FT86" s="83"/>
      <c r="FU86" s="83"/>
    </row>
    <row r="87" spans="1:177" ht="12.75">
      <c r="A87" s="242" t="s">
        <v>354</v>
      </c>
      <c r="B87" s="243" t="s">
        <v>274</v>
      </c>
      <c r="C87" s="85">
        <v>0</v>
      </c>
      <c r="D87" s="85">
        <v>0</v>
      </c>
      <c r="E87" s="85">
        <v>0</v>
      </c>
      <c r="F87" s="85">
        <v>0</v>
      </c>
      <c r="G87" s="244">
        <f>(((D87*(1+Parâmetros!B11)*(1+Parâmetros!C11)*(1+Parâmetros!D11))+(E87*(1+Parâmetros!C11)*(1+Parâmetros!D11)+(F87*(1+Parâmetros!D11))))/3)*(1+Parâmetros!E11)*(1+Parâmetros!E12)</f>
        <v>0</v>
      </c>
      <c r="H87" s="244">
        <f>G87*(1+Parâmetros!F11)*(1+Parâmetros!F12)</f>
        <v>0</v>
      </c>
      <c r="I87" s="244">
        <f>H87*(1+Parâmetros!G11)*(1+Parâmetros!G12)</f>
        <v>0</v>
      </c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</row>
    <row r="88" spans="1:177" ht="25.5">
      <c r="A88" s="242" t="s">
        <v>355</v>
      </c>
      <c r="B88" s="243" t="s">
        <v>296</v>
      </c>
      <c r="C88" s="85">
        <v>0</v>
      </c>
      <c r="D88" s="85">
        <v>0</v>
      </c>
      <c r="E88" s="85">
        <v>0</v>
      </c>
      <c r="F88" s="85">
        <v>0</v>
      </c>
      <c r="G88" s="244">
        <f>(((D88*(1+Parâmetros!B11)*(1+Parâmetros!C11)*(1+Parâmetros!D11))+(E88*(1+Parâmetros!C11)*(1+Parâmetros!D11)+(F88*(1+Parâmetros!D11))))/3)*(1+Parâmetros!E11)*(1+Parâmetros!E12)</f>
        <v>0</v>
      </c>
      <c r="H88" s="244">
        <f>G88*(1+Parâmetros!F11)*(1+Parâmetros!F12)</f>
        <v>0</v>
      </c>
      <c r="I88" s="244">
        <f>H88*(1+Parâmetros!G11)*(1+Parâmetros!G12)</f>
        <v>0</v>
      </c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</row>
    <row r="89" spans="1:177" ht="12.75">
      <c r="A89" s="242" t="s">
        <v>356</v>
      </c>
      <c r="B89" s="243" t="s">
        <v>317</v>
      </c>
      <c r="C89" s="85">
        <v>0</v>
      </c>
      <c r="D89" s="85">
        <v>0</v>
      </c>
      <c r="E89" s="85">
        <v>0</v>
      </c>
      <c r="F89" s="85">
        <v>0</v>
      </c>
      <c r="G89" s="244">
        <f>(((D89*(1+Parâmetros!B11)*(1+Parâmetros!C11)*(1+Parâmetros!D11))+(E89*(1+Parâmetros!C11)*(1+Parâmetros!D11)+(F89*(1+Parâmetros!D11))))/3)*(1+Parâmetros!E11)*(1+Parâmetros!E12)</f>
        <v>0</v>
      </c>
      <c r="H89" s="244">
        <f>G89*(1+Parâmetros!F11)*(1+Parâmetros!F12)</f>
        <v>0</v>
      </c>
      <c r="I89" s="244">
        <f>H89*(1+Parâmetros!G11)*(1+Parâmetros!G12)</f>
        <v>0</v>
      </c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</row>
    <row r="90" spans="1:177" ht="12.75">
      <c r="A90" s="242" t="s">
        <v>357</v>
      </c>
      <c r="B90" s="243" t="s">
        <v>319</v>
      </c>
      <c r="C90" s="85">
        <v>0</v>
      </c>
      <c r="D90" s="85">
        <v>0</v>
      </c>
      <c r="E90" s="85">
        <v>0</v>
      </c>
      <c r="F90" s="85">
        <v>0</v>
      </c>
      <c r="G90" s="244">
        <f>(((D90*(1+Parâmetros!B11)*(1+Parâmetros!C11)*(1+Parâmetros!D11))+(E90*(1+Parâmetros!C11)*(1+Parâmetros!D11)+(F90*(1+Parâmetros!D11))))/3)*(1+Parâmetros!E11)*(1+Parâmetros!E12)</f>
        <v>0</v>
      </c>
      <c r="H90" s="244">
        <f>G90*(1+Parâmetros!F11)*(1+Parâmetros!F12)</f>
        <v>0</v>
      </c>
      <c r="I90" s="244">
        <f>H90*(1+Parâmetros!G11)*(1+Parâmetros!G12)</f>
        <v>0</v>
      </c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</row>
    <row r="91" spans="1:177" ht="12.75">
      <c r="A91" s="242" t="s">
        <v>358</v>
      </c>
      <c r="B91" s="243" t="s">
        <v>320</v>
      </c>
      <c r="C91" s="85">
        <v>0</v>
      </c>
      <c r="D91" s="85">
        <v>0</v>
      </c>
      <c r="E91" s="85">
        <v>0</v>
      </c>
      <c r="F91" s="85">
        <v>0</v>
      </c>
      <c r="G91" s="244">
        <f>(((D91*(1+Parâmetros!B11)*(1+Parâmetros!C11)*(1+Parâmetros!D11))+(E91*(1+Parâmetros!C11)*(1+Parâmetros!D11)+(F91*(1+Parâmetros!D11))))/3)*(1+Parâmetros!E11)*(1+Parâmetros!E12)</f>
        <v>0</v>
      </c>
      <c r="H91" s="244">
        <f>G91:G92*(1+Parâmetros!F11)*(1+Parâmetros!F12)</f>
        <v>0</v>
      </c>
      <c r="I91" s="244">
        <f>H91:H92*(1+Parâmetros!G11)*(1+Parâmetros!G12)</f>
        <v>0</v>
      </c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</row>
    <row r="92" spans="1:177" ht="12.75">
      <c r="A92" s="242" t="s">
        <v>359</v>
      </c>
      <c r="B92" s="243" t="s">
        <v>322</v>
      </c>
      <c r="C92" s="85">
        <v>0</v>
      </c>
      <c r="D92" s="85">
        <v>0</v>
      </c>
      <c r="E92" s="85">
        <v>0</v>
      </c>
      <c r="F92" s="85">
        <v>0</v>
      </c>
      <c r="G92" s="244">
        <f>(((D92*(1+Parâmetros!B11)*(1+Parâmetros!C11)*(1+Parâmetros!D11))+(E92*(1+Parâmetros!C11)*(1+Parâmetros!D11)+(F92*(1+Parâmetros!D11))))/3)*(1+Parâmetros!E11)*(1+Parâmetros!E12)</f>
        <v>0</v>
      </c>
      <c r="H92" s="244">
        <f>G92*(1+Parâmetros!F11)*(1+Parâmetros!F12)</f>
        <v>0</v>
      </c>
      <c r="I92" s="244">
        <f>H92*(1+Parâmetros!G11)*(1+Parâmetros!G12)</f>
        <v>0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</row>
    <row r="93" spans="1:177" ht="12.75">
      <c r="A93" s="242" t="s">
        <v>360</v>
      </c>
      <c r="B93" s="243" t="s">
        <v>324</v>
      </c>
      <c r="C93" s="85">
        <v>0</v>
      </c>
      <c r="D93" s="85">
        <v>0</v>
      </c>
      <c r="E93" s="85">
        <v>0</v>
      </c>
      <c r="F93" s="85">
        <v>0</v>
      </c>
      <c r="G93" s="244">
        <f>(((D93*(1+Parâmetros!B11)*(1+Parâmetros!C11)*(1+Parâmetros!D11))+(E93*(1+Parâmetros!C11)*(1+Parâmetros!D11)+(F93*(1+Parâmetros!D11))))/3)*(1+Parâmetros!E11)*(1+Parâmetros!E12)</f>
        <v>0</v>
      </c>
      <c r="H93" s="244">
        <f>G93*(1+Parâmetros!F11)*(1+Parâmetros!F12)</f>
        <v>0</v>
      </c>
      <c r="I93" s="244">
        <f>H93*(1+Parâmetros!G11)*(1+Parâmetros!G12)</f>
        <v>0</v>
      </c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</row>
    <row r="94" spans="1:177" s="7" customFormat="1" ht="12.75">
      <c r="A94" s="239" t="s">
        <v>361</v>
      </c>
      <c r="B94" s="240" t="s">
        <v>362</v>
      </c>
      <c r="C94" s="241">
        <f aca="true" t="shared" si="17" ref="C94:I94">C95+C96</f>
        <v>0</v>
      </c>
      <c r="D94" s="241">
        <f t="shared" si="17"/>
        <v>0</v>
      </c>
      <c r="E94" s="241">
        <f t="shared" si="17"/>
        <v>0</v>
      </c>
      <c r="F94" s="241">
        <f t="shared" si="17"/>
        <v>0</v>
      </c>
      <c r="G94" s="241">
        <f t="shared" si="17"/>
        <v>0</v>
      </c>
      <c r="H94" s="241">
        <f t="shared" si="17"/>
        <v>0</v>
      </c>
      <c r="I94" s="241">
        <f t="shared" si="17"/>
        <v>0</v>
      </c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  <c r="FL94" s="83"/>
      <c r="FM94" s="83"/>
      <c r="FN94" s="83"/>
      <c r="FO94" s="83"/>
      <c r="FP94" s="83"/>
      <c r="FQ94" s="83"/>
      <c r="FR94" s="83"/>
      <c r="FS94" s="83"/>
      <c r="FT94" s="83"/>
      <c r="FU94" s="83"/>
    </row>
    <row r="95" spans="1:177" ht="25.5">
      <c r="A95" s="242" t="s">
        <v>363</v>
      </c>
      <c r="B95" s="245" t="s">
        <v>364</v>
      </c>
      <c r="C95" s="85">
        <v>0</v>
      </c>
      <c r="D95" s="85">
        <v>0</v>
      </c>
      <c r="E95" s="85">
        <v>0</v>
      </c>
      <c r="F95" s="85">
        <v>0</v>
      </c>
      <c r="G95" s="244">
        <f>(((D95*(1+Parâmetros!B11)*(1+Parâmetros!C11)*(1+Parâmetros!D11))+(E95*(1+Parâmetros!C11)*(1+Parâmetros!D11)+(F95*(1+Parâmetros!D11))))/3)*(1+Parâmetros!E11)</f>
        <v>0</v>
      </c>
      <c r="H95" s="244">
        <f>G95*(1+Parâmetros!F11)</f>
        <v>0</v>
      </c>
      <c r="I95" s="244">
        <f>H95*(1+Parâmetros!G11)</f>
        <v>0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</row>
    <row r="96" spans="1:177" ht="12.75">
      <c r="A96" s="242" t="s">
        <v>365</v>
      </c>
      <c r="B96" s="245" t="s">
        <v>366</v>
      </c>
      <c r="C96" s="85">
        <v>0</v>
      </c>
      <c r="D96" s="85">
        <v>0</v>
      </c>
      <c r="E96" s="85">
        <v>0</v>
      </c>
      <c r="F96" s="85">
        <v>0</v>
      </c>
      <c r="G96" s="244">
        <f>(((D96*(1+Parâmetros!B11)*(1+Parâmetros!C11)*(1+Parâmetros!D11))+(E96*(1+Parâmetros!C11)*(1+Parâmetros!D11)+(F96*(1+Parâmetros!D11))))/3)*(1+Parâmetros!E11)</f>
        <v>0</v>
      </c>
      <c r="H96" s="244">
        <f>G96*(1+Parâmetros!F11)</f>
        <v>0</v>
      </c>
      <c r="I96" s="244">
        <f>H96*(1+Parâmetros!G11)</f>
        <v>0</v>
      </c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</row>
    <row r="97" spans="1:9" s="89" customFormat="1" ht="18">
      <c r="A97" s="246" t="s">
        <v>367</v>
      </c>
      <c r="B97" s="243" t="s">
        <v>396</v>
      </c>
      <c r="C97" s="85">
        <v>0</v>
      </c>
      <c r="D97" s="85">
        <v>0</v>
      </c>
      <c r="E97" s="85">
        <v>0</v>
      </c>
      <c r="F97" s="85">
        <v>0</v>
      </c>
      <c r="G97" s="244">
        <f>(((D97*(1+Parâmetros!B11)*(1+Parâmetros!C11)*(1+Parâmetros!D11))+(E97*(1+Parâmetros!C11)*(1+Parâmetros!D11)+(F97*(1+Parâmetros!D11))))/3)*(1+Parâmetros!E11)*(1+Parâmetros!E13)*(1+Parâmetros!E18)</f>
        <v>0</v>
      </c>
      <c r="H97" s="244">
        <f>G97*(1+Parâmetros!F11)*(1+Parâmetros!F13)*(1+Parâmetros!F18)</f>
        <v>0</v>
      </c>
      <c r="I97" s="244">
        <f>H97*(1+Parâmetros!G11)*(1+Parâmetros!G13)*(1+Parâmetros!G18)</f>
        <v>0</v>
      </c>
    </row>
    <row r="98" spans="1:9" s="89" customFormat="1" ht="18">
      <c r="A98" s="242" t="s">
        <v>368</v>
      </c>
      <c r="B98" s="243" t="s">
        <v>369</v>
      </c>
      <c r="C98" s="85">
        <v>0</v>
      </c>
      <c r="D98" s="85">
        <v>0</v>
      </c>
      <c r="E98" s="85">
        <v>0</v>
      </c>
      <c r="F98" s="85">
        <v>0</v>
      </c>
      <c r="G98" s="244">
        <f>(((D98*(1+Parâmetros!B11)*(1+Parâmetros!C11)*(1+Parâmetros!D11))+(E98*(1+Parâmetros!C11)*(1+Parâmetros!D11)+(F98*(1+Parâmetros!D11))))/3)*(1+Parâmetros!E11)</f>
        <v>0</v>
      </c>
      <c r="H98" s="244"/>
      <c r="I98" s="244"/>
    </row>
    <row r="99" spans="1:177" s="10" customFormat="1" ht="30.75" customHeight="1">
      <c r="A99" s="239" t="s">
        <v>370</v>
      </c>
      <c r="B99" s="240" t="s">
        <v>636</v>
      </c>
      <c r="C99" s="241">
        <f aca="true" t="shared" si="18" ref="C99:I99">C100+C101+C102+C103</f>
        <v>-3046863.114</v>
      </c>
      <c r="D99" s="241">
        <f t="shared" si="18"/>
        <v>-3131771.674</v>
      </c>
      <c r="E99" s="241">
        <f t="shared" si="18"/>
        <v>-3287874.216</v>
      </c>
      <c r="F99" s="241">
        <f t="shared" si="18"/>
        <v>-3663575.6040000003</v>
      </c>
      <c r="G99" s="241">
        <f t="shared" si="18"/>
        <v>-3845731.496887731</v>
      </c>
      <c r="H99" s="241">
        <f t="shared" si="18"/>
        <v>-4147115.7260221625</v>
      </c>
      <c r="I99" s="241">
        <f t="shared" si="18"/>
        <v>-4491852.22151669</v>
      </c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</row>
    <row r="100" spans="1:177" ht="12.75">
      <c r="A100" s="242" t="s">
        <v>371</v>
      </c>
      <c r="B100" s="243" t="s">
        <v>637</v>
      </c>
      <c r="C100" s="40">
        <v>0</v>
      </c>
      <c r="D100" s="40">
        <v>0</v>
      </c>
      <c r="E100" s="40">
        <v>0</v>
      </c>
      <c r="F100" s="40">
        <v>0</v>
      </c>
      <c r="G100" s="244">
        <f>(((D100*(1+Parâmetros!B11)*(1+Parâmetros!C11)*(1+Parâmetros!D11))+(E100*(1+Parâmetros!C11)*(1+Parâmetros!D11)+(F100*(1+Parâmetros!D11))))/3)*(1+Parâmetros!E11)</f>
        <v>0</v>
      </c>
      <c r="H100" s="244">
        <f>G100*(1+Parâmetros!F11)</f>
        <v>0</v>
      </c>
      <c r="I100" s="244">
        <f>H100*(1+Parâmetros!G11)</f>
        <v>0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</row>
    <row r="101" spans="1:177" ht="12.75">
      <c r="A101" s="239" t="s">
        <v>372</v>
      </c>
      <c r="B101" s="240" t="s">
        <v>373</v>
      </c>
      <c r="C101" s="248">
        <f aca="true" t="shared" si="19" ref="C101:I101">-((C41+C44+C49+C52+C53+C54)*0.2)</f>
        <v>-3046863.114</v>
      </c>
      <c r="D101" s="248">
        <f t="shared" si="19"/>
        <v>-3131771.674</v>
      </c>
      <c r="E101" s="248">
        <f t="shared" si="19"/>
        <v>-3287874.216</v>
      </c>
      <c r="F101" s="248">
        <f t="shared" si="19"/>
        <v>-3663575.6040000003</v>
      </c>
      <c r="G101" s="248">
        <f t="shared" si="19"/>
        <v>-3845731.496887731</v>
      </c>
      <c r="H101" s="248">
        <f t="shared" si="19"/>
        <v>-4147115.7260221625</v>
      </c>
      <c r="I101" s="248">
        <f t="shared" si="19"/>
        <v>-4491852.22151669</v>
      </c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</row>
    <row r="102" spans="1:177" ht="25.5">
      <c r="A102" s="242" t="s">
        <v>374</v>
      </c>
      <c r="B102" s="243" t="s">
        <v>638</v>
      </c>
      <c r="C102" s="40">
        <v>0</v>
      </c>
      <c r="D102" s="40">
        <v>0</v>
      </c>
      <c r="E102" s="40">
        <v>0</v>
      </c>
      <c r="F102" s="40">
        <v>0</v>
      </c>
      <c r="G102" s="244">
        <f>(((D102*(1+Parâmetros!B11)*(1+Parâmetros!C11)*(1+Parâmetros!D11))+(E102*(1+Parâmetros!C11)*(1+Parâmetros!D11)+(F102*(1+Parâmetros!D11))))/3)*(1+Parâmetros!E11)</f>
        <v>0</v>
      </c>
      <c r="H102" s="244">
        <f>G102*(1+Parâmetros!F11)</f>
        <v>0</v>
      </c>
      <c r="I102" s="244">
        <f>H102*(1+Parâmetros!G11)</f>
        <v>0</v>
      </c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</row>
    <row r="103" spans="1:177" ht="25.5">
      <c r="A103" s="242" t="s">
        <v>375</v>
      </c>
      <c r="B103" s="243" t="s">
        <v>639</v>
      </c>
      <c r="C103" s="40">
        <v>0</v>
      </c>
      <c r="D103" s="40">
        <v>0</v>
      </c>
      <c r="E103" s="40">
        <v>0</v>
      </c>
      <c r="F103" s="40">
        <v>0</v>
      </c>
      <c r="G103" s="244">
        <f>(((D103*(1+Parâmetros!B11)*(1+Parâmetros!C11)*(1+Parâmetros!D11))+(E103*(1+Parâmetros!C11)*(1+Parâmetros!D11)+(F103*(1+Parâmetros!D11))))/3)*(1+Parâmetros!E11)</f>
        <v>0</v>
      </c>
      <c r="H103" s="244">
        <f>G103*(1+Parâmetros!F11)</f>
        <v>0</v>
      </c>
      <c r="I103" s="244">
        <f>H103*(1+Parâmetros!G11)</f>
        <v>0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</row>
    <row r="104" spans="1:177" ht="12.75">
      <c r="A104" s="249"/>
      <c r="B104" s="250"/>
      <c r="C104" s="247"/>
      <c r="D104" s="247"/>
      <c r="E104" s="247"/>
      <c r="F104" s="247"/>
      <c r="G104" s="244"/>
      <c r="H104" s="244"/>
      <c r="I104" s="244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</row>
    <row r="105" spans="1:177" s="9" customFormat="1" ht="25.5" customHeight="1">
      <c r="A105" s="251"/>
      <c r="B105" s="252" t="s">
        <v>525</v>
      </c>
      <c r="C105" s="248">
        <f aca="true" t="shared" si="20" ref="C105:I105">C8+C78+C97+C98+C99</f>
        <v>18669923.505999997</v>
      </c>
      <c r="D105" s="248">
        <f t="shared" si="20"/>
        <v>19506814.796000008</v>
      </c>
      <c r="E105" s="490">
        <f t="shared" si="20"/>
        <v>20587920.184</v>
      </c>
      <c r="F105" s="248">
        <f t="shared" si="20"/>
        <v>22970045.67599999</v>
      </c>
      <c r="G105" s="248">
        <f t="shared" si="20"/>
        <v>24001388.3354281</v>
      </c>
      <c r="H105" s="248">
        <f t="shared" si="20"/>
        <v>25824994.64311833</v>
      </c>
      <c r="I105" s="248">
        <f t="shared" si="20"/>
        <v>27898226.185569905</v>
      </c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</row>
    <row r="106" spans="1:177" ht="12.75">
      <c r="A106" s="54"/>
      <c r="B106" s="54"/>
      <c r="C106" s="55"/>
      <c r="D106" s="55"/>
      <c r="E106" s="55"/>
      <c r="F106" s="55"/>
      <c r="G106" s="106"/>
      <c r="H106" s="106"/>
      <c r="I106" s="10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</row>
    <row r="107" spans="1:177" ht="15.75">
      <c r="A107" s="507" t="str">
        <f>Parâmetros!A7</f>
        <v>Município de : BARRA DO QUARAI</v>
      </c>
      <c r="B107" s="505"/>
      <c r="C107" s="505"/>
      <c r="D107" s="505"/>
      <c r="E107" s="505"/>
      <c r="F107" s="505"/>
      <c r="G107" s="505"/>
      <c r="H107" s="505"/>
      <c r="I107" s="505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</row>
    <row r="108" spans="1:177" ht="15.75">
      <c r="A108" s="506" t="str">
        <f>Parâmetros!A8</f>
        <v>LEI DE DIRETRIZES ORÇAMENTÁRIAS  PARA 2020</v>
      </c>
      <c r="B108" s="505"/>
      <c r="C108" s="505"/>
      <c r="D108" s="505"/>
      <c r="E108" s="505"/>
      <c r="F108" s="505"/>
      <c r="G108" s="505"/>
      <c r="H108" s="505"/>
      <c r="I108" s="505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</row>
    <row r="109" spans="1:177" ht="15.75">
      <c r="A109" s="504" t="s">
        <v>523</v>
      </c>
      <c r="B109" s="505"/>
      <c r="C109" s="505"/>
      <c r="D109" s="505"/>
      <c r="E109" s="505"/>
      <c r="F109" s="505"/>
      <c r="G109" s="505"/>
      <c r="H109" s="505"/>
      <c r="I109" s="505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</row>
    <row r="110" spans="1:177" ht="15">
      <c r="A110" s="54"/>
      <c r="B110" s="54"/>
      <c r="C110" s="55"/>
      <c r="D110" s="55"/>
      <c r="E110" s="55"/>
      <c r="F110" s="55"/>
      <c r="G110" s="106"/>
      <c r="H110" s="106"/>
      <c r="I110" s="19" t="s">
        <v>55</v>
      </c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</row>
    <row r="111" spans="1:177" s="1" customFormat="1" ht="15.75">
      <c r="A111" s="256"/>
      <c r="B111" s="257" t="s">
        <v>0</v>
      </c>
      <c r="C111" s="258" t="s">
        <v>521</v>
      </c>
      <c r="D111" s="258" t="s">
        <v>521</v>
      </c>
      <c r="E111" s="258" t="s">
        <v>521</v>
      </c>
      <c r="F111" s="259" t="s">
        <v>522</v>
      </c>
      <c r="G111" s="259" t="s">
        <v>12</v>
      </c>
      <c r="H111" s="260" t="s">
        <v>12</v>
      </c>
      <c r="I111" s="261" t="s">
        <v>12</v>
      </c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</row>
    <row r="112" spans="1:177" s="1" customFormat="1" ht="27.75" customHeight="1">
      <c r="A112" s="262"/>
      <c r="B112" s="263" t="s">
        <v>8</v>
      </c>
      <c r="C112" s="264">
        <f>C7</f>
        <v>2016</v>
      </c>
      <c r="D112" s="265">
        <f aca="true" t="shared" si="21" ref="D112:I112">C112+1</f>
        <v>2017</v>
      </c>
      <c r="E112" s="265">
        <f t="shared" si="21"/>
        <v>2018</v>
      </c>
      <c r="F112" s="265">
        <f t="shared" si="21"/>
        <v>2019</v>
      </c>
      <c r="G112" s="265">
        <f t="shared" si="21"/>
        <v>2020</v>
      </c>
      <c r="H112" s="265">
        <f t="shared" si="21"/>
        <v>2021</v>
      </c>
      <c r="I112" s="265">
        <f t="shared" si="21"/>
        <v>2022</v>
      </c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</row>
    <row r="113" spans="1:177" s="91" customFormat="1" ht="15.75">
      <c r="A113" s="253" t="s">
        <v>42</v>
      </c>
      <c r="B113" s="254" t="s">
        <v>1</v>
      </c>
      <c r="C113" s="255">
        <f aca="true" t="shared" si="22" ref="C113:I113">C114+C118+C122</f>
        <v>16319448.12</v>
      </c>
      <c r="D113" s="255">
        <f t="shared" si="22"/>
        <v>17558040.78</v>
      </c>
      <c r="E113" s="255">
        <f t="shared" si="22"/>
        <v>19086092.36</v>
      </c>
      <c r="F113" s="255">
        <f t="shared" si="22"/>
        <v>21799447.34</v>
      </c>
      <c r="G113" s="255">
        <f t="shared" si="22"/>
        <v>22288733.731932737</v>
      </c>
      <c r="H113" s="255">
        <f t="shared" si="22"/>
        <v>24155192.947162673</v>
      </c>
      <c r="I113" s="255">
        <f t="shared" si="22"/>
        <v>26207519.106145456</v>
      </c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</row>
    <row r="114" spans="1:177" s="91" customFormat="1" ht="15.75">
      <c r="A114" s="253" t="s">
        <v>43</v>
      </c>
      <c r="B114" s="254" t="s">
        <v>44</v>
      </c>
      <c r="C114" s="255">
        <f>C115+C116+C117</f>
        <v>10208848.12</v>
      </c>
      <c r="D114" s="255">
        <f aca="true" t="shared" si="23" ref="D114:I114">D115+D116+D117</f>
        <v>10916136.12</v>
      </c>
      <c r="E114" s="255">
        <f t="shared" si="23"/>
        <v>11675046.22</v>
      </c>
      <c r="F114" s="255">
        <f>F115+F116+F117</f>
        <v>11000000</v>
      </c>
      <c r="G114" s="255">
        <f t="shared" si="23"/>
        <v>12662992.186486095</v>
      </c>
      <c r="H114" s="255">
        <f t="shared" si="23"/>
        <v>13525088.694542069</v>
      </c>
      <c r="I114" s="255">
        <f t="shared" si="23"/>
        <v>14438647.572959261</v>
      </c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</row>
    <row r="115" spans="1:177" s="8" customFormat="1" ht="15">
      <c r="A115" s="266" t="s">
        <v>43</v>
      </c>
      <c r="B115" s="267" t="s">
        <v>376</v>
      </c>
      <c r="C115" s="90">
        <v>10208848.12</v>
      </c>
      <c r="D115" s="90">
        <v>10916136.12</v>
      </c>
      <c r="E115" s="486">
        <v>11675046.22</v>
      </c>
      <c r="F115" s="486">
        <v>11000000</v>
      </c>
      <c r="G115" s="244">
        <f>(((D115*(1+Parâmetros!B11)*(1+Parâmetros!C11)*(1+Parâmetros!D11))+(E115*(1+Parâmetros!C11)*(1+Parâmetros!D11)+(F115*(1+Parâmetros!D11))))/3)*(1+Parâmetros!E11)*(1+Parâmetros!E13)*(1+Parâmetros!E18)</f>
        <v>12662992.186486095</v>
      </c>
      <c r="H115" s="268">
        <f>G115*(1+Parâmetros!F11)*(1+Parâmetros!F13)*(1+Parâmetros!F18)</f>
        <v>13525088.694542069</v>
      </c>
      <c r="I115" s="268">
        <f>H115*(1+Parâmetros!G11)*(1+Parâmetros!G13)*(1+Parâmetros!G18)</f>
        <v>14438647.572959261</v>
      </c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</row>
    <row r="116" spans="1:177" s="8" customFormat="1" ht="15">
      <c r="A116" s="266" t="s">
        <v>43</v>
      </c>
      <c r="B116" s="267" t="s">
        <v>377</v>
      </c>
      <c r="C116" s="90">
        <v>0</v>
      </c>
      <c r="D116" s="90">
        <v>0</v>
      </c>
      <c r="E116" s="486">
        <v>0</v>
      </c>
      <c r="F116" s="486">
        <v>0</v>
      </c>
      <c r="G116" s="244">
        <f>(((D116*(1+Parâmetros!B11)*(1+Parâmetros!C11)*(1+Parâmetros!D11))+(E116*(1+Parâmetros!C11)*(1+Parâmetros!D11)+(F116*(1+Parâmetros!D11))))/3)*(1+Parâmetros!E11)*(1+Parâmetros!E13)*(1+Parâmetros!E19)</f>
        <v>0</v>
      </c>
      <c r="H116" s="268">
        <f>G116*(1+Parâmetros!F11)*(1+Parâmetros!F13)*(1+Parâmetros!F19)</f>
        <v>0</v>
      </c>
      <c r="I116" s="268">
        <f>H116*(1+Parâmetros!G11)*(1+Parâmetros!G13)*(1+Parâmetros!G19)</f>
        <v>0</v>
      </c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</row>
    <row r="117" spans="1:177" s="8" customFormat="1" ht="14.25" customHeight="1">
      <c r="A117" s="266" t="s">
        <v>43</v>
      </c>
      <c r="B117" s="267" t="s">
        <v>210</v>
      </c>
      <c r="C117" s="90">
        <v>0</v>
      </c>
      <c r="D117" s="90">
        <v>0</v>
      </c>
      <c r="E117" s="486">
        <v>0</v>
      </c>
      <c r="F117" s="486">
        <v>0</v>
      </c>
      <c r="G117" s="244">
        <f>(((D117*(1+Parâmetros!B11)*(1+Parâmetros!C11)*(1+Parâmetros!D11))+(E117*(1+Parâmetros!C11)*(1+Parâmetros!D11)+(F117*(1+Parâmetros!D11))))/3)*(1+Parâmetros!E11)*(1+Parâmetros!E13)*(1+Parâmetros!E18)</f>
        <v>0</v>
      </c>
      <c r="H117" s="268">
        <f>G117*(1+Parâmetros!F11)*(1+Parâmetros!F13)*(1+Parâmetros!F18)</f>
        <v>0</v>
      </c>
      <c r="I117" s="268">
        <f>H117*(1+Parâmetros!G11)*(1+Parâmetros!G13)*(1+Parâmetros!G18)</f>
        <v>0</v>
      </c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</row>
    <row r="118" spans="1:177" s="92" customFormat="1" ht="15.75">
      <c r="A118" s="253" t="s">
        <v>45</v>
      </c>
      <c r="B118" s="254" t="s">
        <v>131</v>
      </c>
      <c r="C118" s="255">
        <f aca="true" t="shared" si="24" ref="C118:I118">C119+C120+C121</f>
        <v>0</v>
      </c>
      <c r="D118" s="255">
        <f t="shared" si="24"/>
        <v>0</v>
      </c>
      <c r="E118" s="487">
        <f t="shared" si="24"/>
        <v>0</v>
      </c>
      <c r="F118" s="487">
        <f t="shared" si="24"/>
        <v>0</v>
      </c>
      <c r="G118" s="255">
        <f t="shared" si="24"/>
        <v>0</v>
      </c>
      <c r="H118" s="255">
        <f t="shared" si="24"/>
        <v>0</v>
      </c>
      <c r="I118" s="255">
        <f t="shared" si="24"/>
        <v>0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</row>
    <row r="119" spans="1:177" ht="15">
      <c r="A119" s="266" t="s">
        <v>45</v>
      </c>
      <c r="B119" s="267" t="s">
        <v>378</v>
      </c>
      <c r="C119" s="90">
        <v>0</v>
      </c>
      <c r="D119" s="90">
        <v>0</v>
      </c>
      <c r="E119" s="486">
        <v>0</v>
      </c>
      <c r="F119" s="486">
        <v>0</v>
      </c>
      <c r="G119" s="244">
        <f>(((D119*(1+Parâmetros!B11)*(1+Parâmetros!C11)*(1+Parâmetros!D11))+(E119*(1+Parâmetros!C11)*(1+Parâmetros!D11)+(F119*(1+Parâmetros!D11))))/3)*(1+Parâmetros!E21)</f>
        <v>0</v>
      </c>
      <c r="H119" s="268">
        <f>G119*(1+Parâmetros!F21)</f>
        <v>0</v>
      </c>
      <c r="I119" s="268">
        <f>H119*(1+Parâmetros!G21)</f>
        <v>0</v>
      </c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</row>
    <row r="120" spans="1:177" ht="15">
      <c r="A120" s="266" t="s">
        <v>45</v>
      </c>
      <c r="B120" s="267" t="s">
        <v>379</v>
      </c>
      <c r="C120" s="90">
        <v>0</v>
      </c>
      <c r="D120" s="90">
        <v>0</v>
      </c>
      <c r="E120" s="486">
        <v>0</v>
      </c>
      <c r="F120" s="486">
        <v>0</v>
      </c>
      <c r="G120" s="244">
        <f>(((D120*(1+Parâmetros!B11)*(1+Parâmetros!C11)*(1+Parâmetros!D11))+(E120*(1+Parâmetros!C11)*(1+Parâmetros!D11)+(F120*(1+Parâmetros!D11))))/3)*(1+Parâmetros!E21)</f>
        <v>0</v>
      </c>
      <c r="H120" s="268">
        <f>G120*(1+Parâmetros!F21)</f>
        <v>0</v>
      </c>
      <c r="I120" s="268">
        <f>H120*(1+Parâmetros!G21)</f>
        <v>0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</row>
    <row r="121" spans="1:177" ht="15">
      <c r="A121" s="266" t="s">
        <v>45</v>
      </c>
      <c r="B121" s="267" t="s">
        <v>211</v>
      </c>
      <c r="C121" s="90">
        <v>0</v>
      </c>
      <c r="D121" s="90">
        <v>0</v>
      </c>
      <c r="E121" s="486">
        <v>0</v>
      </c>
      <c r="F121" s="486">
        <v>0</v>
      </c>
      <c r="G121" s="244">
        <f>(((D121*(1+Parâmetros!B11)*(1+Parâmetros!C11)*(1+Parâmetros!D11))+(E121*(1+Parâmetros!C11)*(1+Parâmetros!D11)+(F121*(1+Parâmetros!D11))))/3)*(1+Parâmetros!E21)</f>
        <v>0</v>
      </c>
      <c r="H121" s="268">
        <f>G121*(1+Parâmetros!F21)</f>
        <v>0</v>
      </c>
      <c r="I121" s="268">
        <f>H121*(1+Parâmetros!G21)</f>
        <v>0</v>
      </c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</row>
    <row r="122" spans="1:177" s="91" customFormat="1" ht="15.75">
      <c r="A122" s="253" t="s">
        <v>46</v>
      </c>
      <c r="B122" s="254" t="s">
        <v>47</v>
      </c>
      <c r="C122" s="255">
        <f aca="true" t="shared" si="25" ref="C122:I122">C123+C124+C125</f>
        <v>6110600</v>
      </c>
      <c r="D122" s="255">
        <f t="shared" si="25"/>
        <v>6641904.66</v>
      </c>
      <c r="E122" s="487">
        <f t="shared" si="25"/>
        <v>7411046.14</v>
      </c>
      <c r="F122" s="487">
        <f t="shared" si="25"/>
        <v>10799447.34</v>
      </c>
      <c r="G122" s="255">
        <f t="shared" si="25"/>
        <v>9625741.54544664</v>
      </c>
      <c r="H122" s="255">
        <f t="shared" si="25"/>
        <v>10630104.252620604</v>
      </c>
      <c r="I122" s="255">
        <f t="shared" si="25"/>
        <v>11768871.533186197</v>
      </c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</row>
    <row r="123" spans="1:177" s="8" customFormat="1" ht="15">
      <c r="A123" s="266" t="s">
        <v>46</v>
      </c>
      <c r="B123" s="267" t="s">
        <v>380</v>
      </c>
      <c r="C123" s="90">
        <v>6110600</v>
      </c>
      <c r="D123" s="90">
        <v>6641904.66</v>
      </c>
      <c r="E123" s="486">
        <v>7411046.14</v>
      </c>
      <c r="F123" s="486">
        <v>10799447.34</v>
      </c>
      <c r="G123" s="244">
        <f>(((D123*(1+Parâmetros!B11)*(1+Parâmetros!C11)*(1+Parâmetros!D11))+(E123*(1+Parâmetros!C11)*(1+Parâmetros!D11)+(F123*(1+Parâmetros!D11))))/3)*(1+Parâmetros!E11)*(1+Parâmetros!E14)</f>
        <v>9625741.54544664</v>
      </c>
      <c r="H123" s="268">
        <f>G123*(1+Parâmetros!F11)*(1+Parâmetros!F14)</f>
        <v>10630104.252620604</v>
      </c>
      <c r="I123" s="268">
        <f>H123*(1+Parâmetros!G11)*(1+Parâmetros!G14)</f>
        <v>11768871.533186197</v>
      </c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</row>
    <row r="124" spans="1:177" s="8" customFormat="1" ht="15">
      <c r="A124" s="266" t="s">
        <v>46</v>
      </c>
      <c r="B124" s="267" t="s">
        <v>381</v>
      </c>
      <c r="C124" s="90">
        <v>0</v>
      </c>
      <c r="D124" s="90">
        <v>0</v>
      </c>
      <c r="E124" s="486">
        <v>0</v>
      </c>
      <c r="F124" s="486">
        <v>0</v>
      </c>
      <c r="G124" s="244">
        <f>(((D124*(1+Parâmetros!B11)*(1+Parâmetros!C11)*(1+Parâmetros!D11))+(E124*(1+Parâmetros!C11)*(1+Parâmetros!D11)+(F124*(1+Parâmetros!D11))))/3)*(1+Parâmetros!E11)*(1+Parâmetros!E14)</f>
        <v>0</v>
      </c>
      <c r="H124" s="268">
        <f>G124*(1+Parâmetros!F11)*(1+Parâmetros!F14)</f>
        <v>0</v>
      </c>
      <c r="I124" s="268">
        <f>H124*(1+Parâmetros!G11)*(1+Parâmetros!G14)</f>
        <v>0</v>
      </c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</row>
    <row r="125" spans="1:177" s="8" customFormat="1" ht="15">
      <c r="A125" s="266" t="s">
        <v>46</v>
      </c>
      <c r="B125" s="267" t="s">
        <v>382</v>
      </c>
      <c r="C125" s="90">
        <v>0</v>
      </c>
      <c r="D125" s="90">
        <v>0</v>
      </c>
      <c r="E125" s="486">
        <v>0</v>
      </c>
      <c r="F125" s="486">
        <v>0</v>
      </c>
      <c r="G125" s="244">
        <f>(((D125*(1+Parâmetros!B11)*(1+Parâmetros!C11)*(1+Parâmetros!D11))+(E125*(1+Parâmetros!C11)*(1+Parâmetros!D11)+(F125*(1+Parâmetros!D11))))/3)*(1+Parâmetros!E11)*(1+Parâmetros!E14)</f>
        <v>0</v>
      </c>
      <c r="H125" s="268">
        <f>G125*(1+Parâmetros!F11)*(1+Parâmetros!F14)</f>
        <v>0</v>
      </c>
      <c r="I125" s="268">
        <f>H125*(1+Parâmetros!G11)*(1+Parâmetros!G14)</f>
        <v>0</v>
      </c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</row>
    <row r="126" spans="1:177" s="91" customFormat="1" ht="15.75">
      <c r="A126" s="253" t="s">
        <v>48</v>
      </c>
      <c r="B126" s="254" t="s">
        <v>2</v>
      </c>
      <c r="C126" s="255">
        <f aca="true" t="shared" si="26" ref="C126:I126">C127+C131+C135</f>
        <v>565841.72</v>
      </c>
      <c r="D126" s="255">
        <f t="shared" si="26"/>
        <v>524391.26</v>
      </c>
      <c r="E126" s="487">
        <f t="shared" si="26"/>
        <v>726190.77</v>
      </c>
      <c r="F126" s="487">
        <f t="shared" si="26"/>
        <v>1170598.34</v>
      </c>
      <c r="G126" s="255">
        <f t="shared" si="26"/>
        <v>1619034.7916512848</v>
      </c>
      <c r="H126" s="255">
        <f t="shared" si="26"/>
        <v>1798611.5252796952</v>
      </c>
      <c r="I126" s="255">
        <f t="shared" si="26"/>
        <v>2121657.7548720897</v>
      </c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</row>
    <row r="127" spans="1:177" s="91" customFormat="1" ht="15.75">
      <c r="A127" s="253" t="s">
        <v>49</v>
      </c>
      <c r="B127" s="254" t="s">
        <v>3</v>
      </c>
      <c r="C127" s="255">
        <f aca="true" t="shared" si="27" ref="C127:I127">C128+C129+C130</f>
        <v>263576.42</v>
      </c>
      <c r="D127" s="255">
        <f t="shared" si="27"/>
        <v>285101.4</v>
      </c>
      <c r="E127" s="487">
        <f t="shared" si="27"/>
        <v>244091.73</v>
      </c>
      <c r="F127" s="487">
        <f t="shared" si="27"/>
        <v>350598.34</v>
      </c>
      <c r="G127" s="255">
        <f t="shared" si="27"/>
        <v>1058198.0520799449</v>
      </c>
      <c r="H127" s="255">
        <f t="shared" si="27"/>
        <v>1215341.3161255014</v>
      </c>
      <c r="I127" s="255">
        <f t="shared" si="27"/>
        <v>1514473.467142574</v>
      </c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</row>
    <row r="128" spans="1:177" s="8" customFormat="1" ht="15">
      <c r="A128" s="266" t="s">
        <v>49</v>
      </c>
      <c r="B128" s="267" t="s">
        <v>383</v>
      </c>
      <c r="C128" s="90">
        <v>263576.42</v>
      </c>
      <c r="D128" s="90">
        <v>285101.4</v>
      </c>
      <c r="E128" s="486">
        <v>244091.73</v>
      </c>
      <c r="F128" s="486">
        <v>350598.34</v>
      </c>
      <c r="G128" s="244">
        <f>(((D128*(1+Parâmetros!B11)*(1+Parâmetros!C11)*(1+Parâmetros!D11))+(E128*(1+Parâmetros!C11)*(1+Parâmetros!D11)+(F128*(1+Parâmetros!D11))))/1)*(1+Parâmetros!E11)*(1+Parâmetros!E20)</f>
        <v>1058198.0520799449</v>
      </c>
      <c r="H128" s="268">
        <f>G128*(1+Parâmetros!F11)*(1+Parâmetros!F20)</f>
        <v>1215341.3161255014</v>
      </c>
      <c r="I128" s="268">
        <f>H128*(1+Parâmetros!G11)*(1+Parâmetros!G20)</f>
        <v>1514473.467142574</v>
      </c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</row>
    <row r="129" spans="1:177" s="8" customFormat="1" ht="15">
      <c r="A129" s="266" t="s">
        <v>49</v>
      </c>
      <c r="B129" s="267" t="s">
        <v>384</v>
      </c>
      <c r="C129" s="90">
        <v>0</v>
      </c>
      <c r="D129" s="90">
        <v>0</v>
      </c>
      <c r="E129" s="486">
        <v>0</v>
      </c>
      <c r="F129" s="486">
        <v>0</v>
      </c>
      <c r="G129" s="244">
        <f>(((D129*(1+Parâmetros!B11)*(1+Parâmetros!C11)*(1+Parâmetros!D11))+(E129*(1+Parâmetros!C11)*(1+Parâmetros!D11)+(F129*(1+Parâmetros!D11))))/2)*(1+Parâmetros!E11)*(1+Parâmetros!E20)</f>
        <v>0</v>
      </c>
      <c r="H129" s="268">
        <f>G129*(1+Parâmetros!F11)*(1+Parâmetros!F20)</f>
        <v>0</v>
      </c>
      <c r="I129" s="268">
        <f>H129*(1+Parâmetros!G11)*(1+Parâmetros!G20)</f>
        <v>0</v>
      </c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</row>
    <row r="130" spans="1:177" s="8" customFormat="1" ht="15">
      <c r="A130" s="266" t="s">
        <v>49</v>
      </c>
      <c r="B130" s="267" t="s">
        <v>212</v>
      </c>
      <c r="C130" s="90">
        <v>0</v>
      </c>
      <c r="D130" s="90">
        <v>0</v>
      </c>
      <c r="E130" s="486">
        <v>0</v>
      </c>
      <c r="F130" s="486">
        <v>0</v>
      </c>
      <c r="G130" s="244">
        <f>(((D130*(1+Parâmetros!B11)*(1+Parâmetros!C11)*(1+Parâmetros!D11))+(E130*(1+Parâmetros!C11)*(1+Parâmetros!D11)+(F130*(1+Parâmetros!D11))))/3)*(1+Parâmetros!E11)*(1+Parâmetros!E20)</f>
        <v>0</v>
      </c>
      <c r="H130" s="268">
        <f>G130*(1+Parâmetros!F11)*(1+Parâmetros!F20)</f>
        <v>0</v>
      </c>
      <c r="I130" s="268">
        <f>H130*(1+Parâmetros!G11)*(1+Parâmetros!G20)</f>
        <v>0</v>
      </c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</row>
    <row r="131" spans="1:177" s="91" customFormat="1" ht="15.75">
      <c r="A131" s="253" t="s">
        <v>50</v>
      </c>
      <c r="B131" s="254" t="s">
        <v>4</v>
      </c>
      <c r="C131" s="255">
        <f aca="true" t="shared" si="28" ref="C131:I131">C132+C133+C134</f>
        <v>0</v>
      </c>
      <c r="D131" s="255">
        <f t="shared" si="28"/>
        <v>0</v>
      </c>
      <c r="E131" s="487">
        <f t="shared" si="28"/>
        <v>0</v>
      </c>
      <c r="F131" s="487">
        <f t="shared" si="28"/>
        <v>0</v>
      </c>
      <c r="G131" s="255">
        <f t="shared" si="28"/>
        <v>0</v>
      </c>
      <c r="H131" s="255">
        <f t="shared" si="28"/>
        <v>0</v>
      </c>
      <c r="I131" s="255">
        <f t="shared" si="28"/>
        <v>0</v>
      </c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</row>
    <row r="132" spans="1:177" ht="15">
      <c r="A132" s="266" t="s">
        <v>51</v>
      </c>
      <c r="B132" s="269" t="s">
        <v>52</v>
      </c>
      <c r="C132" s="90">
        <v>0</v>
      </c>
      <c r="D132" s="90">
        <v>0</v>
      </c>
      <c r="E132" s="486">
        <v>0</v>
      </c>
      <c r="F132" s="486">
        <v>0</v>
      </c>
      <c r="G132" s="244">
        <f>(((D132*(1+Parâmetros!B11)*(1+Parâmetros!C11)*(1+Parâmetros!D11))+(E132*(1+Parâmetros!C11)*(1+Parâmetros!D11)+(F132*(1+Parâmetros!D11))))/3)*(1+Parâmetros!E11)</f>
        <v>0</v>
      </c>
      <c r="H132" s="268">
        <f>G132*(1+Parâmetros!F11)</f>
        <v>0</v>
      </c>
      <c r="I132" s="268">
        <f>H132*(1+Parâmetros!G11)</f>
        <v>0</v>
      </c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</row>
    <row r="133" spans="1:177" ht="15">
      <c r="A133" s="266" t="s">
        <v>385</v>
      </c>
      <c r="B133" s="269" t="s">
        <v>386</v>
      </c>
      <c r="C133" s="90">
        <v>0</v>
      </c>
      <c r="D133" s="90">
        <v>0</v>
      </c>
      <c r="E133" s="486">
        <v>0</v>
      </c>
      <c r="F133" s="486">
        <v>0</v>
      </c>
      <c r="G133" s="244">
        <f>(((D133*(1+Parâmetros!B11)*(1+Parâmetros!C11)*(1+Parâmetros!D11))+(E133*(1+Parâmetros!C11)*(1+Parâmetros!D11)+(F133*(1+Parâmetros!D11))))/3)*(1+Parâmetros!E11)</f>
        <v>0</v>
      </c>
      <c r="H133" s="268">
        <f>G133*(1+Parâmetros!F11)</f>
        <v>0</v>
      </c>
      <c r="I133" s="268">
        <f>H133*(1+Parâmetros!G11)</f>
        <v>0</v>
      </c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</row>
    <row r="134" spans="1:177" ht="15">
      <c r="A134" s="266" t="s">
        <v>385</v>
      </c>
      <c r="B134" s="269" t="s">
        <v>387</v>
      </c>
      <c r="C134" s="90">
        <v>0</v>
      </c>
      <c r="D134" s="90">
        <v>0</v>
      </c>
      <c r="E134" s="486">
        <v>0</v>
      </c>
      <c r="F134" s="486">
        <v>0</v>
      </c>
      <c r="G134" s="244">
        <f>(((D134*(1+Parâmetros!B11)*(1+Parâmetros!C11)*(1+Parâmetros!D11))+(E134*(1+Parâmetros!C11)*(1+Parâmetros!D11)+(F134*(1+Parâmetros!D11))))/3)*(1+Parâmetros!E11)</f>
        <v>0</v>
      </c>
      <c r="H134" s="268">
        <f>G134*(1+Parâmetros!F11)</f>
        <v>0</v>
      </c>
      <c r="I134" s="268">
        <f>H134*(1+Parâmetros!G11)</f>
        <v>0</v>
      </c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</row>
    <row r="135" spans="1:177" s="91" customFormat="1" ht="15.75">
      <c r="A135" s="253" t="s">
        <v>53</v>
      </c>
      <c r="B135" s="254" t="s">
        <v>54</v>
      </c>
      <c r="C135" s="255">
        <f aca="true" t="shared" si="29" ref="C135:I135">C136+C137+C138</f>
        <v>302265.3</v>
      </c>
      <c r="D135" s="255">
        <f t="shared" si="29"/>
        <v>239289.86</v>
      </c>
      <c r="E135" s="487">
        <f t="shared" si="29"/>
        <v>482099.04</v>
      </c>
      <c r="F135" s="487">
        <f t="shared" si="29"/>
        <v>820000</v>
      </c>
      <c r="G135" s="255">
        <f t="shared" si="29"/>
        <v>560836.73957134</v>
      </c>
      <c r="H135" s="255">
        <f t="shared" si="29"/>
        <v>583270.2091541936</v>
      </c>
      <c r="I135" s="255">
        <f t="shared" si="29"/>
        <v>607184.2877295156</v>
      </c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</row>
    <row r="136" spans="1:177" s="8" customFormat="1" ht="15">
      <c r="A136" s="266" t="s">
        <v>53</v>
      </c>
      <c r="B136" s="269" t="s">
        <v>388</v>
      </c>
      <c r="C136" s="90">
        <v>302265.3</v>
      </c>
      <c r="D136" s="90">
        <v>239289.86</v>
      </c>
      <c r="E136" s="486">
        <v>482099.04</v>
      </c>
      <c r="F136" s="486">
        <v>820000</v>
      </c>
      <c r="G136" s="244">
        <f>(((D136*(1+Parâmetros!B11)*(1+Parâmetros!C11)*(1+Parâmetros!D11))+(E136*(1+Parâmetros!C11)*(1+Parâmetros!D11)+(F136*(1+Parâmetros!D11))))/3)*(1+Parâmetros!E11)</f>
        <v>560836.73957134</v>
      </c>
      <c r="H136" s="268">
        <f>G136*(1+Parâmetros!F11)</f>
        <v>583270.2091541936</v>
      </c>
      <c r="I136" s="268">
        <f>H136*(1+Parâmetros!G11)</f>
        <v>607184.2877295156</v>
      </c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</row>
    <row r="137" spans="1:177" s="8" customFormat="1" ht="15">
      <c r="A137" s="266" t="s">
        <v>53</v>
      </c>
      <c r="B137" s="269" t="s">
        <v>389</v>
      </c>
      <c r="C137" s="90">
        <v>0</v>
      </c>
      <c r="D137" s="90">
        <v>0</v>
      </c>
      <c r="E137" s="486">
        <v>0</v>
      </c>
      <c r="F137" s="486">
        <v>0</v>
      </c>
      <c r="G137" s="244">
        <f>(((D137*(1+Parâmetros!B11)*(1+Parâmetros!C11)*(1+Parâmetros!D11))+(E137*(1+Parâmetros!C11)*(1+Parâmetros!D11)+(F137*(1+Parâmetros!D11))))/3)*(1+Parâmetros!E11)</f>
        <v>0</v>
      </c>
      <c r="H137" s="268">
        <f>G137*(1+Parâmetros!F11)</f>
        <v>0</v>
      </c>
      <c r="I137" s="268">
        <f>H137*(1+Parâmetros!G11)</f>
        <v>0</v>
      </c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</row>
    <row r="138" spans="1:177" s="8" customFormat="1" ht="15">
      <c r="A138" s="266" t="s">
        <v>53</v>
      </c>
      <c r="B138" s="269" t="s">
        <v>390</v>
      </c>
      <c r="C138" s="90">
        <v>0</v>
      </c>
      <c r="D138" s="90">
        <v>0</v>
      </c>
      <c r="E138" s="486">
        <v>0</v>
      </c>
      <c r="F138" s="486">
        <v>0</v>
      </c>
      <c r="G138" s="244">
        <f>(((D138*(1+Parâmetros!B11)*(1+Parâmetros!C11)*(1+Parâmetros!D11))+(E138*(1+Parâmetros!C11)*(1+Parâmetros!D11)+(F138*(1+Parâmetros!D11))))/3)*(1+Parâmetros!E11)</f>
        <v>0</v>
      </c>
      <c r="H138" s="268">
        <f>G138*(1+Parâmetros!F11)</f>
        <v>0</v>
      </c>
      <c r="I138" s="268">
        <f>H138*(1+Parâmetros!G11)</f>
        <v>0</v>
      </c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</row>
    <row r="139" spans="1:177" s="8" customFormat="1" ht="15">
      <c r="A139" s="266" t="s">
        <v>186</v>
      </c>
      <c r="B139" s="269" t="s">
        <v>132</v>
      </c>
      <c r="C139" s="271"/>
      <c r="D139" s="271"/>
      <c r="E139" s="271"/>
      <c r="F139" s="271"/>
      <c r="G139" s="268">
        <f>((G105-G17-G28-G72-G95-G97)-(G115+G116+G119+G120+G123+G124+G128+G129+G132+G133+G134+G136+G137))</f>
        <v>93619.81184407696</v>
      </c>
      <c r="H139" s="268">
        <f>((H105-H17-H28-H72-H95-H97)-(H115+H116+H119+H120+H123+H124+H128+H129+H132+H133+H134+H136+H137))</f>
        <v>-128809.82932403684</v>
      </c>
      <c r="I139" s="268">
        <f>((I105-I17-I28-I72-I95-I97)-(I115+I116+I119+I120+I123+I124+I128+I129+I132+I133+I134+I136+I137))</f>
        <v>-430950.6754476428</v>
      </c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</row>
    <row r="140" spans="1:177" ht="15">
      <c r="A140" s="266" t="s">
        <v>187</v>
      </c>
      <c r="B140" s="267" t="s">
        <v>148</v>
      </c>
      <c r="C140" s="271"/>
      <c r="D140" s="271"/>
      <c r="E140" s="271"/>
      <c r="F140" s="271"/>
      <c r="G140" s="268">
        <f>G17+G28+G72+G95+G97-G117-G121-G125-G130-G138</f>
        <v>0</v>
      </c>
      <c r="H140" s="268">
        <f>H17+H28+H72+H95+H97-H117-H121-H125-H130-H138</f>
        <v>0</v>
      </c>
      <c r="I140" s="268">
        <f>I17+I28+I72+I95+I97-I117-I121-I125-I130-I138</f>
        <v>0</v>
      </c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</row>
    <row r="141" spans="1:177" s="9" customFormat="1" ht="29.25" customHeight="1" thickBot="1">
      <c r="A141" s="270"/>
      <c r="B141" s="107" t="s">
        <v>524</v>
      </c>
      <c r="C141" s="108">
        <f>C113+C126</f>
        <v>16885289.84</v>
      </c>
      <c r="D141" s="108">
        <f>D113+D126</f>
        <v>18082432.040000003</v>
      </c>
      <c r="E141" s="108">
        <f>E113+E126</f>
        <v>19812283.13</v>
      </c>
      <c r="F141" s="108">
        <f>F113+F126</f>
        <v>22970045.68</v>
      </c>
      <c r="G141" s="108">
        <f>G113+G126+G139+G140</f>
        <v>24001388.3354281</v>
      </c>
      <c r="H141" s="108">
        <f>H113+H126+H139+H140</f>
        <v>25824994.64311833</v>
      </c>
      <c r="I141" s="108">
        <f>I113+I126+I139+I140</f>
        <v>27898226.185569905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</row>
    <row r="142" spans="1:177" s="1" customFormat="1" ht="17.25" customHeight="1" hidden="1">
      <c r="A142" s="20"/>
      <c r="B142" s="24" t="s">
        <v>34</v>
      </c>
      <c r="C142" s="93"/>
      <c r="D142" s="94"/>
      <c r="E142" s="94"/>
      <c r="F142" s="94"/>
      <c r="G142" s="94"/>
      <c r="H142" s="94"/>
      <c r="I142" s="94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</row>
    <row r="143" spans="1:177" s="1" customFormat="1" ht="17.25" customHeight="1" hidden="1">
      <c r="A143" s="21"/>
      <c r="B143" s="22" t="s">
        <v>7</v>
      </c>
      <c r="C143" s="23" t="s">
        <v>9</v>
      </c>
      <c r="D143" s="23" t="e">
        <f>IF(#REF!&gt;0,"REALIZADO","PROJETADO")</f>
        <v>#REF!</v>
      </c>
      <c r="E143" s="23" t="e">
        <f>IF(#REF!&gt;0,"REALIZADO","PROJETADO")</f>
        <v>#REF!</v>
      </c>
      <c r="F143" s="23" t="e">
        <f>IF(#REF!&gt;0,"REALIZADO","PROJETADO")</f>
        <v>#REF!</v>
      </c>
      <c r="G143" s="23" t="s">
        <v>12</v>
      </c>
      <c r="H143" s="23"/>
      <c r="I143" s="23" t="s">
        <v>12</v>
      </c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</row>
    <row r="144" spans="1:177" s="1" customFormat="1" ht="17.25" customHeight="1" hidden="1">
      <c r="A144" s="21"/>
      <c r="B144" s="95" t="s">
        <v>6</v>
      </c>
      <c r="C144" s="96">
        <v>1999</v>
      </c>
      <c r="D144" s="96">
        <v>2000</v>
      </c>
      <c r="E144" s="96">
        <v>2001</v>
      </c>
      <c r="F144" s="96">
        <v>2002</v>
      </c>
      <c r="G144" s="96">
        <v>2003</v>
      </c>
      <c r="H144" s="96"/>
      <c r="I144" s="96">
        <v>2004</v>
      </c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</row>
    <row r="145" spans="1:177" s="1" customFormat="1" ht="17.25" customHeight="1" hidden="1">
      <c r="A145" s="21"/>
      <c r="B145" s="24"/>
      <c r="C145" s="25"/>
      <c r="D145" s="25"/>
      <c r="E145" s="25"/>
      <c r="F145" s="25"/>
      <c r="G145" s="25"/>
      <c r="H145" s="25"/>
      <c r="I145" s="25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</row>
    <row r="146" spans="1:177" s="1" customFormat="1" ht="16.5" hidden="1" thickBot="1">
      <c r="A146" s="21"/>
      <c r="B146" s="24" t="s">
        <v>14</v>
      </c>
      <c r="C146" s="26" t="e">
        <f>C8-#REF!-C14+C150-#REF!</f>
        <v>#REF!</v>
      </c>
      <c r="D146" s="26" t="e">
        <f>D8-#REF!-D14+D150-#REF!</f>
        <v>#REF!</v>
      </c>
      <c r="E146" s="26" t="e">
        <f>E8-#REF!-E14+E150-#REF!</f>
        <v>#REF!</v>
      </c>
      <c r="F146" s="26" t="e">
        <f>F8-#REF!-F14+F150-#REF!</f>
        <v>#REF!</v>
      </c>
      <c r="G146" s="26" t="e">
        <f>G8-#REF!-G14+G150-#REF!</f>
        <v>#REF!</v>
      </c>
      <c r="H146" s="26"/>
      <c r="I146" s="26" t="e">
        <f>I8-#REF!-I14+I150-#REF!</f>
        <v>#REF!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</row>
    <row r="147" spans="1:177" s="1" customFormat="1" ht="16.5" hidden="1" thickBot="1">
      <c r="A147" s="21"/>
      <c r="B147" s="24" t="s">
        <v>15</v>
      </c>
      <c r="C147" s="26">
        <f>C9</f>
        <v>715289.63</v>
      </c>
      <c r="D147" s="26">
        <f>D9</f>
        <v>1244231.7200000002</v>
      </c>
      <c r="E147" s="26">
        <f>E9</f>
        <v>1942332.4600000002</v>
      </c>
      <c r="F147" s="26">
        <f>F9</f>
        <v>1630567.75</v>
      </c>
      <c r="G147" s="26">
        <f>G9</f>
        <v>1888361.0569270696</v>
      </c>
      <c r="H147" s="26"/>
      <c r="I147" s="26">
        <f>I9</f>
        <v>2323667.1891792472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</row>
    <row r="148" spans="1:177" s="1" customFormat="1" ht="16.5" hidden="1" thickBot="1">
      <c r="A148" s="21"/>
      <c r="B148" s="24" t="s">
        <v>16</v>
      </c>
      <c r="C148" s="26" t="e">
        <f>C19+C20+C21+#REF!+#REF!+#REF!+#REF!</f>
        <v>#REF!</v>
      </c>
      <c r="D148" s="26" t="e">
        <f>D19+D20+D21+#REF!+#REF!+#REF!+#REF!</f>
        <v>#REF!</v>
      </c>
      <c r="E148" s="26" t="e">
        <f>E19+E20+E21+#REF!+#REF!+#REF!+#REF!</f>
        <v>#REF!</v>
      </c>
      <c r="F148" s="26" t="e">
        <f>F19+F20+F21+#REF!+#REF!+#REF!+#REF!</f>
        <v>#REF!</v>
      </c>
      <c r="G148" s="26" t="e">
        <f>G19+G20+G21+#REF!+#REF!+#REF!+#REF!</f>
        <v>#REF!</v>
      </c>
      <c r="H148" s="26"/>
      <c r="I148" s="26" t="e">
        <f>I19+I20+I21+#REF!+#REF!+#REF!+#REF!</f>
        <v>#REF!</v>
      </c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</row>
    <row r="149" spans="1:177" s="1" customFormat="1" ht="16.5" hidden="1" thickBot="1">
      <c r="A149" s="21"/>
      <c r="B149" s="24" t="s">
        <v>17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/>
      <c r="I149" s="26" t="e">
        <f>#REF!</f>
        <v>#REF!</v>
      </c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</row>
    <row r="150" spans="1:177" s="1" customFormat="1" ht="16.5" hidden="1" thickBot="1">
      <c r="A150" s="21"/>
      <c r="B150" s="24" t="s">
        <v>18</v>
      </c>
      <c r="C150" s="26" t="e">
        <f>#REF!-#REF!</f>
        <v>#REF!</v>
      </c>
      <c r="D150" s="26" t="e">
        <f>#REF!-#REF!</f>
        <v>#REF!</v>
      </c>
      <c r="E150" s="26" t="e">
        <f>#REF!-#REF!</f>
        <v>#REF!</v>
      </c>
      <c r="F150" s="26" t="e">
        <f>#REF!-#REF!</f>
        <v>#REF!</v>
      </c>
      <c r="G150" s="26" t="e">
        <f>#REF!-#REF!</f>
        <v>#REF!</v>
      </c>
      <c r="H150" s="26"/>
      <c r="I150" s="26" t="e">
        <f>#REF!-#REF!</f>
        <v>#REF!</v>
      </c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</row>
    <row r="151" spans="1:177" s="1" customFormat="1" ht="16.5" hidden="1" thickBot="1">
      <c r="A151" s="21"/>
      <c r="B151" s="24" t="s">
        <v>19</v>
      </c>
      <c r="C151" s="26" t="e">
        <f>#REF!</f>
        <v>#REF!</v>
      </c>
      <c r="D151" s="26" t="e">
        <f>#REF!</f>
        <v>#REF!</v>
      </c>
      <c r="E151" s="26" t="e">
        <f>#REF!</f>
        <v>#REF!</v>
      </c>
      <c r="F151" s="26" t="e">
        <f>#REF!</f>
        <v>#REF!</v>
      </c>
      <c r="G151" s="26" t="e">
        <f>#REF!</f>
        <v>#REF!</v>
      </c>
      <c r="H151" s="26"/>
      <c r="I151" s="26" t="e">
        <f>#REF!</f>
        <v>#REF!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</row>
    <row r="152" spans="1:177" s="1" customFormat="1" ht="16.5" hidden="1" thickBot="1">
      <c r="A152" s="21"/>
      <c r="B152" s="24" t="s">
        <v>20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/>
      <c r="I152" s="26" t="e">
        <f>#REF!</f>
        <v>#REF!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</row>
    <row r="153" spans="1:177" s="1" customFormat="1" ht="16.5" hidden="1" thickBot="1">
      <c r="A153" s="21"/>
      <c r="B153" s="24" t="s">
        <v>21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/>
      <c r="I153" s="26" t="e">
        <f>#REF!</f>
        <v>#REF!</v>
      </c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</row>
    <row r="154" spans="1:177" s="1" customFormat="1" ht="16.5" hidden="1" thickBot="1">
      <c r="A154" s="21"/>
      <c r="B154" s="24" t="s">
        <v>22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/>
      <c r="I154" s="26" t="e">
        <f>#REF!</f>
        <v>#REF!</v>
      </c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</row>
    <row r="155" spans="1:177" s="1" customFormat="1" ht="16.5" hidden="1" thickBot="1">
      <c r="A155" s="21"/>
      <c r="B155" s="24" t="s">
        <v>23</v>
      </c>
      <c r="C155" s="26" t="e">
        <f>#REF!+#REF!+C132+C133+C135+#REF!+C140+C141+C118+#REF!</f>
        <v>#REF!</v>
      </c>
      <c r="D155" s="26" t="e">
        <f>#REF!+#REF!+D132+D133+D135+#REF!+D140+D141+D118+#REF!</f>
        <v>#REF!</v>
      </c>
      <c r="E155" s="26" t="e">
        <f>#REF!+#REF!+E132+E133+E135+#REF!+E140+E141+E118+#REF!</f>
        <v>#REF!</v>
      </c>
      <c r="F155" s="26" t="e">
        <f>#REF!+#REF!+F132+F133+F135+#REF!+F140+F141+F118+#REF!</f>
        <v>#REF!</v>
      </c>
      <c r="G155" s="26" t="e">
        <f>#REF!+#REF!+G132+G133+G135+#REF!+G140+G141+G118+#REF!</f>
        <v>#REF!</v>
      </c>
      <c r="H155" s="26"/>
      <c r="I155" s="26" t="e">
        <f>#REF!+#REF!+I132+I133+I135+#REF!+I140+I141+I118+#REF!</f>
        <v>#REF!</v>
      </c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</row>
    <row r="156" spans="1:177" s="1" customFormat="1" ht="16.5" hidden="1" thickBot="1">
      <c r="A156" s="21"/>
      <c r="B156" s="24" t="s">
        <v>24</v>
      </c>
      <c r="C156" s="26" t="e">
        <f>#REF!+#REF!</f>
        <v>#REF!</v>
      </c>
      <c r="D156" s="26" t="e">
        <f>#REF!+#REF!</f>
        <v>#REF!</v>
      </c>
      <c r="E156" s="26" t="e">
        <f>#REF!+#REF!</f>
        <v>#REF!</v>
      </c>
      <c r="F156" s="26" t="e">
        <f>#REF!+#REF!</f>
        <v>#REF!</v>
      </c>
      <c r="G156" s="26" t="e">
        <f>#REF!+#REF!</f>
        <v>#REF!</v>
      </c>
      <c r="H156" s="26"/>
      <c r="I156" s="26" t="e">
        <f>#REF!+#REF!</f>
        <v>#REF!</v>
      </c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</row>
    <row r="157" spans="1:177" s="1" customFormat="1" ht="16.5" hidden="1" thickBot="1">
      <c r="A157" s="21"/>
      <c r="B157" s="24" t="s">
        <v>25</v>
      </c>
      <c r="C157" s="26">
        <f>C127+C131</f>
        <v>263576.42</v>
      </c>
      <c r="D157" s="26">
        <f>D127+D131</f>
        <v>285101.4</v>
      </c>
      <c r="E157" s="26">
        <f>E127+E131</f>
        <v>244091.73</v>
      </c>
      <c r="F157" s="26">
        <f>F127+F131</f>
        <v>350598.34</v>
      </c>
      <c r="G157" s="26">
        <f>G127+G131</f>
        <v>1058198.0520799449</v>
      </c>
      <c r="H157" s="26"/>
      <c r="I157" s="26">
        <f>I127+I131</f>
        <v>1514473.467142574</v>
      </c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</row>
    <row r="158" spans="1:177" s="1" customFormat="1" ht="16.5" hidden="1" thickBot="1">
      <c r="A158" s="21"/>
      <c r="B158" s="24" t="s">
        <v>26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/>
      <c r="I158" s="26" t="e">
        <f>#REF!</f>
        <v>#REF!</v>
      </c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</row>
    <row r="159" spans="1:177" s="1" customFormat="1" ht="16.5" hidden="1" thickBot="1">
      <c r="A159" s="21"/>
      <c r="B159" s="24" t="s">
        <v>27</v>
      </c>
      <c r="C159" s="26" t="e">
        <f>C122+#REF!+#REF!+#REF!+#REF!+#REF!+#REF!</f>
        <v>#REF!</v>
      </c>
      <c r="D159" s="26" t="e">
        <f>D122+#REF!+#REF!+#REF!+#REF!+#REF!+#REF!</f>
        <v>#REF!</v>
      </c>
      <c r="E159" s="26" t="e">
        <f>E122+#REF!+#REF!+#REF!+#REF!+#REF!+#REF!</f>
        <v>#REF!</v>
      </c>
      <c r="F159" s="26" t="e">
        <f>F122+#REF!+#REF!+#REF!+#REF!+#REF!+#REF!</f>
        <v>#REF!</v>
      </c>
      <c r="G159" s="26" t="e">
        <f>G122+#REF!+#REF!+#REF!+#REF!+#REF!+#REF!</f>
        <v>#REF!</v>
      </c>
      <c r="H159" s="26"/>
      <c r="I159" s="26" t="e">
        <f>I122+#REF!+#REF!+#REF!+#REF!+#REF!+#REF!</f>
        <v>#REF!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</row>
    <row r="160" spans="1:177" s="1" customFormat="1" ht="16.5" hidden="1" thickBot="1">
      <c r="A160" s="21"/>
      <c r="B160" s="24" t="s">
        <v>33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/>
      <c r="I160" s="26" t="e">
        <f>#REF!</f>
        <v>#REF!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</row>
    <row r="161" spans="1:177" s="1" customFormat="1" ht="16.5" hidden="1" thickBot="1">
      <c r="A161" s="21"/>
      <c r="B161" s="24" t="s">
        <v>28</v>
      </c>
      <c r="C161" s="26" t="e">
        <f>#REF!+#REF!</f>
        <v>#REF!</v>
      </c>
      <c r="D161" s="26" t="e">
        <f>#REF!+#REF!</f>
        <v>#REF!</v>
      </c>
      <c r="E161" s="26" t="e">
        <f>#REF!+#REF!</f>
        <v>#REF!</v>
      </c>
      <c r="F161" s="26" t="e">
        <f>#REF!+#REF!</f>
        <v>#REF!</v>
      </c>
      <c r="G161" s="26" t="e">
        <f>#REF!+#REF!</f>
        <v>#REF!</v>
      </c>
      <c r="H161" s="26"/>
      <c r="I161" s="26" t="e">
        <f>#REF!+#REF!</f>
        <v>#REF!</v>
      </c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</row>
    <row r="162" spans="1:177" s="1" customFormat="1" ht="16.5" hidden="1" thickBot="1">
      <c r="A162" s="21"/>
      <c r="B162" s="24" t="s">
        <v>29</v>
      </c>
      <c r="C162" s="26" t="e">
        <f>#REF!+#REF!</f>
        <v>#REF!</v>
      </c>
      <c r="D162" s="26" t="e">
        <f>#REF!+#REF!</f>
        <v>#REF!</v>
      </c>
      <c r="E162" s="26" t="e">
        <f>#REF!+#REF!</f>
        <v>#REF!</v>
      </c>
      <c r="F162" s="26" t="e">
        <f>#REF!+#REF!</f>
        <v>#REF!</v>
      </c>
      <c r="G162" s="26" t="e">
        <f>#REF!+#REF!</f>
        <v>#REF!</v>
      </c>
      <c r="H162" s="26"/>
      <c r="I162" s="26" t="e">
        <f>#REF!+#REF!</f>
        <v>#REF!</v>
      </c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</row>
    <row r="163" spans="1:177" s="1" customFormat="1" ht="16.5" hidden="1" thickBot="1">
      <c r="A163" s="21"/>
      <c r="B163" s="24" t="s">
        <v>30</v>
      </c>
      <c r="C163" s="26" t="e">
        <f>C161+C162</f>
        <v>#REF!</v>
      </c>
      <c r="D163" s="26" t="e">
        <f aca="true" t="shared" si="30" ref="D163:I163">D161+D162</f>
        <v>#REF!</v>
      </c>
      <c r="E163" s="26" t="e">
        <f t="shared" si="30"/>
        <v>#REF!</v>
      </c>
      <c r="F163" s="26" t="e">
        <f t="shared" si="30"/>
        <v>#REF!</v>
      </c>
      <c r="G163" s="26" t="e">
        <f t="shared" si="30"/>
        <v>#REF!</v>
      </c>
      <c r="H163" s="26"/>
      <c r="I163" s="26" t="e">
        <f t="shared" si="30"/>
        <v>#REF!</v>
      </c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</row>
    <row r="164" spans="1:177" s="1" customFormat="1" ht="16.5" hidden="1" thickBot="1">
      <c r="A164" s="21"/>
      <c r="B164" s="24" t="s">
        <v>31</v>
      </c>
      <c r="C164" s="26" t="e">
        <f>((C8+#REF!)-(C148)-((#REF!+#REF!)-C163))</f>
        <v>#REF!</v>
      </c>
      <c r="D164" s="26" t="e">
        <f>((D8+#REF!)-(D148)-((#REF!+#REF!)-D163))</f>
        <v>#REF!</v>
      </c>
      <c r="E164" s="26" t="e">
        <f>((E8+#REF!)-(E148)-((#REF!+#REF!)-E163))</f>
        <v>#REF!</v>
      </c>
      <c r="F164" s="26" t="e">
        <f>((F8+#REF!)-(F148)-((#REF!+#REF!)-F163))</f>
        <v>#REF!</v>
      </c>
      <c r="G164" s="26" t="e">
        <f>((G8+#REF!)-(G148)-((#REF!+#REF!)-G163))</f>
        <v>#REF!</v>
      </c>
      <c r="H164" s="26"/>
      <c r="I164" s="26" t="e">
        <f>((I8+#REF!)-(I148)-((#REF!+#REF!)-I163))</f>
        <v>#REF!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</row>
    <row r="165" spans="1:177" s="1" customFormat="1" ht="16.5" hidden="1" thickBot="1">
      <c r="A165" s="21"/>
      <c r="B165" s="27" t="s">
        <v>32</v>
      </c>
      <c r="C165" s="28" t="e">
        <f>-(C164-(C161-C19-C20-C21-#REF!))</f>
        <v>#REF!</v>
      </c>
      <c r="D165" s="28" t="e">
        <f>-(D164-(D161-D19-D20-D21-#REF!))</f>
        <v>#REF!</v>
      </c>
      <c r="E165" s="28" t="e">
        <f>-(E164-(E161-E19-E20-E21-#REF!))</f>
        <v>#REF!</v>
      </c>
      <c r="F165" s="28" t="e">
        <f>-(F164-(F161-F19-F20-F21-#REF!))</f>
        <v>#REF!</v>
      </c>
      <c r="G165" s="28" t="e">
        <f>-(G164-(G161-G19-G20-G21-#REF!))</f>
        <v>#REF!</v>
      </c>
      <c r="H165" s="28"/>
      <c r="I165" s="28" t="e">
        <f>-(I164-(I161-I19-I20-I21-#REF!))</f>
        <v>#REF!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</row>
    <row r="166" spans="1:177" s="1" customFormat="1" ht="16.5" thickTop="1">
      <c r="A166" s="21"/>
      <c r="B166" s="29"/>
      <c r="C166" s="29"/>
      <c r="D166" s="29"/>
      <c r="E166" s="29"/>
      <c r="F166" s="29"/>
      <c r="G166" s="29"/>
      <c r="H166" s="29"/>
      <c r="I166" s="29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</row>
    <row r="167" spans="2:177" s="1" customFormat="1" ht="15.75">
      <c r="B167" s="5"/>
      <c r="C167" s="5"/>
      <c r="D167" s="5"/>
      <c r="E167" s="5"/>
      <c r="F167" s="5"/>
      <c r="G167" s="5"/>
      <c r="H167" s="5"/>
      <c r="I167" s="5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</row>
    <row r="168" spans="2:177" s="1" customFormat="1" ht="15.75">
      <c r="B168" s="5"/>
      <c r="C168" s="5"/>
      <c r="D168" s="5"/>
      <c r="E168" s="5"/>
      <c r="F168" s="5"/>
      <c r="G168" s="5"/>
      <c r="H168" s="5"/>
      <c r="I168" s="5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</row>
    <row r="169" spans="2:177" s="1" customFormat="1" ht="15.75">
      <c r="B169" s="5"/>
      <c r="C169" s="5"/>
      <c r="D169" s="5"/>
      <c r="E169" s="5"/>
      <c r="F169" s="5"/>
      <c r="G169" s="5"/>
      <c r="H169" s="5"/>
      <c r="I169" s="5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</row>
    <row r="170" spans="2:177" s="1" customFormat="1" ht="15.75">
      <c r="B170" s="5"/>
      <c r="C170" s="5"/>
      <c r="D170" s="5"/>
      <c r="E170" s="5"/>
      <c r="F170" s="5"/>
      <c r="G170" s="5"/>
      <c r="H170" s="5"/>
      <c r="I170" s="5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</row>
    <row r="171" spans="2:177" s="1" customFormat="1" ht="15.75">
      <c r="B171" s="2"/>
      <c r="C171" s="5"/>
      <c r="D171" s="5"/>
      <c r="E171" s="5"/>
      <c r="F171" s="5"/>
      <c r="G171" s="5"/>
      <c r="H171" s="5"/>
      <c r="I171" s="5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</row>
    <row r="172" spans="2:177" s="1" customFormat="1" ht="15.75">
      <c r="B172" s="5"/>
      <c r="C172" s="5"/>
      <c r="D172" s="5"/>
      <c r="E172" s="5"/>
      <c r="F172" s="5"/>
      <c r="G172" s="5"/>
      <c r="H172" s="5"/>
      <c r="I172" s="5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</row>
    <row r="173" spans="2:177" s="1" customFormat="1" ht="15.75">
      <c r="B173" s="5"/>
      <c r="C173" s="5"/>
      <c r="D173" s="5"/>
      <c r="E173" s="5"/>
      <c r="F173" s="5" t="s">
        <v>642</v>
      </c>
      <c r="G173" s="5"/>
      <c r="H173" s="5"/>
      <c r="I173" s="5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</row>
    <row r="174" spans="2:177" s="1" customFormat="1" ht="15.75">
      <c r="B174" s="5"/>
      <c r="C174" s="5"/>
      <c r="D174" s="5"/>
      <c r="E174" s="5"/>
      <c r="F174" s="5"/>
      <c r="G174" s="5"/>
      <c r="H174" s="5"/>
      <c r="I174" s="5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</row>
    <row r="175" spans="2:177" s="1" customFormat="1" ht="15.75">
      <c r="B175" s="5"/>
      <c r="C175" s="5"/>
      <c r="D175" s="5"/>
      <c r="E175" s="5"/>
      <c r="F175" s="5"/>
      <c r="G175" s="5"/>
      <c r="H175" s="5"/>
      <c r="I175" s="5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</row>
    <row r="176" spans="2:177" s="1" customFormat="1" ht="15.75">
      <c r="B176" s="5"/>
      <c r="C176" s="5"/>
      <c r="D176" s="5"/>
      <c r="E176" s="5"/>
      <c r="F176" s="5"/>
      <c r="G176" s="5"/>
      <c r="H176" s="5"/>
      <c r="I176" s="5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</row>
    <row r="177" spans="2:177" s="1" customFormat="1" ht="15.75">
      <c r="B177" s="5"/>
      <c r="C177" s="5"/>
      <c r="D177" s="5"/>
      <c r="E177" s="5"/>
      <c r="F177" s="5"/>
      <c r="G177" s="5"/>
      <c r="H177" s="5"/>
      <c r="I177" s="5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</row>
    <row r="178" spans="2:177" s="1" customFormat="1" ht="18.75" customHeight="1">
      <c r="B178" s="5"/>
      <c r="C178" s="5"/>
      <c r="D178" s="5"/>
      <c r="E178" s="5"/>
      <c r="F178" s="5"/>
      <c r="G178" s="5"/>
      <c r="H178" s="5"/>
      <c r="I178" s="5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</row>
    <row r="179" spans="2:177" s="2" customFormat="1" ht="15.75">
      <c r="B179" s="5"/>
      <c r="C179" s="5"/>
      <c r="D179" s="5"/>
      <c r="E179" s="5"/>
      <c r="F179" s="5"/>
      <c r="G179" s="5"/>
      <c r="H179" s="5"/>
      <c r="I179" s="5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</row>
    <row r="180" spans="2:177" s="1" customFormat="1" ht="15.75">
      <c r="B180" s="5"/>
      <c r="C180" s="5"/>
      <c r="D180" s="5"/>
      <c r="E180" s="5"/>
      <c r="F180" s="5"/>
      <c r="G180" s="5"/>
      <c r="H180" s="5"/>
      <c r="I180" s="5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</row>
    <row r="181" spans="2:177" s="1" customFormat="1" ht="15.75">
      <c r="B181" s="5"/>
      <c r="C181" s="5"/>
      <c r="D181" s="5"/>
      <c r="E181" s="5"/>
      <c r="F181" s="5"/>
      <c r="G181" s="5"/>
      <c r="H181" s="5"/>
      <c r="I181" s="5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</row>
    <row r="182" spans="2:177" s="1" customFormat="1" ht="15.75">
      <c r="B182" s="5"/>
      <c r="C182" s="5"/>
      <c r="D182" s="5"/>
      <c r="E182" s="5"/>
      <c r="F182" s="5"/>
      <c r="G182" s="5"/>
      <c r="H182" s="5"/>
      <c r="I182" s="5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</row>
    <row r="183" spans="2:177" s="1" customFormat="1" ht="15.75">
      <c r="B183" s="5"/>
      <c r="C183" s="5"/>
      <c r="D183" s="5"/>
      <c r="E183" s="5"/>
      <c r="F183" s="5"/>
      <c r="G183" s="5"/>
      <c r="H183" s="5"/>
      <c r="I183" s="5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8"/>
      <c r="FH183" s="98"/>
      <c r="FI183" s="98"/>
      <c r="FJ183" s="98"/>
      <c r="FK183" s="98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</row>
    <row r="184" spans="2:177" s="1" customFormat="1" ht="15.75">
      <c r="B184" s="5"/>
      <c r="C184" s="5"/>
      <c r="D184" s="5"/>
      <c r="E184" s="5"/>
      <c r="F184" s="5"/>
      <c r="G184" s="5"/>
      <c r="H184" s="5"/>
      <c r="I184" s="5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8"/>
      <c r="FH184" s="98"/>
      <c r="FI184" s="98"/>
      <c r="FJ184" s="98"/>
      <c r="FK184" s="98"/>
      <c r="FL184" s="98"/>
      <c r="FM184" s="98"/>
      <c r="FN184" s="98"/>
      <c r="FO184" s="98"/>
      <c r="FP184" s="98"/>
      <c r="FQ184" s="98"/>
      <c r="FR184" s="98"/>
      <c r="FS184" s="98"/>
      <c r="FT184" s="98"/>
      <c r="FU184" s="98"/>
    </row>
    <row r="185" spans="2:177" s="3" customFormat="1" ht="15.75">
      <c r="B185" s="5"/>
      <c r="C185" s="6"/>
      <c r="D185" s="6"/>
      <c r="E185" s="6"/>
      <c r="F185" s="6"/>
      <c r="G185" s="6"/>
      <c r="H185" s="6"/>
      <c r="I185" s="6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4"/>
      <c r="DE185" s="104"/>
      <c r="DF185" s="104"/>
      <c r="DG185" s="104"/>
      <c r="DH185" s="104"/>
      <c r="DI185" s="104"/>
      <c r="DJ185" s="104"/>
      <c r="DK185" s="104"/>
      <c r="DL185" s="104"/>
      <c r="DM185" s="104"/>
      <c r="DN185" s="104"/>
      <c r="DO185" s="104"/>
      <c r="DP185" s="104"/>
      <c r="DQ185" s="104"/>
      <c r="DR185" s="104"/>
      <c r="DS185" s="104"/>
      <c r="DT185" s="104"/>
      <c r="DU185" s="104"/>
      <c r="DV185" s="104"/>
      <c r="DW185" s="104"/>
      <c r="DX185" s="104"/>
      <c r="DY185" s="104"/>
      <c r="DZ185" s="104"/>
      <c r="EA185" s="104"/>
      <c r="EB185" s="104"/>
      <c r="EC185" s="104"/>
      <c r="ED185" s="104"/>
      <c r="EE185" s="104"/>
      <c r="EF185" s="104"/>
      <c r="EG185" s="104"/>
      <c r="EH185" s="104"/>
      <c r="EI185" s="104"/>
      <c r="EJ185" s="104"/>
      <c r="EK185" s="104"/>
      <c r="EL185" s="104"/>
      <c r="EM185" s="104"/>
      <c r="EN185" s="104"/>
      <c r="EO185" s="104"/>
      <c r="EP185" s="104"/>
      <c r="EQ185" s="104"/>
      <c r="ER185" s="104"/>
      <c r="ES185" s="104"/>
      <c r="ET185" s="104"/>
      <c r="EU185" s="104"/>
      <c r="EV185" s="104"/>
      <c r="EW185" s="104"/>
      <c r="EX185" s="104"/>
      <c r="EY185" s="104"/>
      <c r="EZ185" s="104"/>
      <c r="FA185" s="104"/>
      <c r="FB185" s="104"/>
      <c r="FC185" s="104"/>
      <c r="FD185" s="104"/>
      <c r="FE185" s="104"/>
      <c r="FF185" s="104"/>
      <c r="FG185" s="104"/>
      <c r="FH185" s="104"/>
      <c r="FI185" s="104"/>
      <c r="FJ185" s="104"/>
      <c r="FK185" s="104"/>
      <c r="FL185" s="104"/>
      <c r="FM185" s="104"/>
      <c r="FN185" s="104"/>
      <c r="FO185" s="104"/>
      <c r="FP185" s="104"/>
      <c r="FQ185" s="104"/>
      <c r="FR185" s="104"/>
      <c r="FS185" s="104"/>
      <c r="FT185" s="104"/>
      <c r="FU185" s="104"/>
    </row>
    <row r="186" spans="2:177" s="1" customFormat="1" ht="15.75">
      <c r="B186" s="2"/>
      <c r="C186" s="2"/>
      <c r="D186" s="2"/>
      <c r="E186" s="2"/>
      <c r="F186" s="2"/>
      <c r="G186" s="2"/>
      <c r="H186" s="2"/>
      <c r="I186" s="2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8"/>
      <c r="FU186" s="98"/>
    </row>
    <row r="187" spans="2:177" s="1" customFormat="1" ht="15.75">
      <c r="B187" s="2"/>
      <c r="C187" s="2"/>
      <c r="D187" s="2"/>
      <c r="E187" s="2"/>
      <c r="F187" s="2"/>
      <c r="G187" s="2"/>
      <c r="H187" s="2"/>
      <c r="I187" s="2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</row>
    <row r="188" spans="2:177" s="1" customFormat="1" ht="15.75">
      <c r="B188" s="2"/>
      <c r="C188" s="2"/>
      <c r="D188" s="2"/>
      <c r="E188" s="2"/>
      <c r="F188" s="2"/>
      <c r="G188" s="2"/>
      <c r="H188" s="2"/>
      <c r="I188" s="2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98"/>
      <c r="FI188" s="98"/>
      <c r="FJ188" s="98"/>
      <c r="FK188" s="98"/>
      <c r="FL188" s="98"/>
      <c r="FM188" s="98"/>
      <c r="FN188" s="98"/>
      <c r="FO188" s="98"/>
      <c r="FP188" s="98"/>
      <c r="FQ188" s="98"/>
      <c r="FR188" s="98"/>
      <c r="FS188" s="98"/>
      <c r="FT188" s="98"/>
      <c r="FU188" s="98"/>
    </row>
    <row r="189" spans="2:177" s="1" customFormat="1" ht="15.75">
      <c r="B189" s="2"/>
      <c r="C189" s="2"/>
      <c r="D189" s="2"/>
      <c r="E189" s="2"/>
      <c r="F189" s="2"/>
      <c r="G189" s="2"/>
      <c r="H189" s="2"/>
      <c r="I189" s="2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  <c r="EI189" s="98"/>
      <c r="EJ189" s="98"/>
      <c r="EK189" s="98"/>
      <c r="EL189" s="98"/>
      <c r="EM189" s="98"/>
      <c r="EN189" s="98"/>
      <c r="EO189" s="98"/>
      <c r="EP189" s="98"/>
      <c r="EQ189" s="98"/>
      <c r="ER189" s="98"/>
      <c r="ES189" s="98"/>
      <c r="ET189" s="98"/>
      <c r="EU189" s="98"/>
      <c r="EV189" s="98"/>
      <c r="EW189" s="98"/>
      <c r="EX189" s="98"/>
      <c r="EY189" s="98"/>
      <c r="EZ189" s="98"/>
      <c r="FA189" s="98"/>
      <c r="FB189" s="98"/>
      <c r="FC189" s="98"/>
      <c r="FD189" s="98"/>
      <c r="FE189" s="98"/>
      <c r="FF189" s="98"/>
      <c r="FG189" s="98"/>
      <c r="FH189" s="98"/>
      <c r="FI189" s="98"/>
      <c r="FJ189" s="98"/>
      <c r="FK189" s="98"/>
      <c r="FL189" s="98"/>
      <c r="FM189" s="98"/>
      <c r="FN189" s="98"/>
      <c r="FO189" s="98"/>
      <c r="FP189" s="98"/>
      <c r="FQ189" s="98"/>
      <c r="FR189" s="98"/>
      <c r="FS189" s="98"/>
      <c r="FT189" s="98"/>
      <c r="FU189" s="98"/>
    </row>
    <row r="190" spans="2:177" s="1" customFormat="1" ht="15.75">
      <c r="B190" s="2"/>
      <c r="C190" s="2"/>
      <c r="D190" s="2"/>
      <c r="E190" s="2"/>
      <c r="F190" s="2"/>
      <c r="G190" s="2"/>
      <c r="H190" s="2"/>
      <c r="I190" s="2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8"/>
      <c r="FU190" s="98"/>
    </row>
    <row r="191" spans="2:177" s="1" customFormat="1" ht="15.75">
      <c r="B191" s="2"/>
      <c r="C191" s="2"/>
      <c r="D191" s="2"/>
      <c r="E191" s="2"/>
      <c r="F191" s="2"/>
      <c r="G191" s="2"/>
      <c r="H191" s="2"/>
      <c r="I191" s="2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98"/>
      <c r="FI191" s="98"/>
      <c r="FJ191" s="98"/>
      <c r="FK191" s="98"/>
      <c r="FL191" s="98"/>
      <c r="FM191" s="98"/>
      <c r="FN191" s="98"/>
      <c r="FO191" s="98"/>
      <c r="FP191" s="98"/>
      <c r="FQ191" s="98"/>
      <c r="FR191" s="98"/>
      <c r="FS191" s="98"/>
      <c r="FT191" s="98"/>
      <c r="FU191" s="98"/>
    </row>
    <row r="192" spans="2:177" s="1" customFormat="1" ht="15.75">
      <c r="B192" s="2"/>
      <c r="C192" s="2"/>
      <c r="D192" s="2"/>
      <c r="E192" s="2"/>
      <c r="F192" s="2"/>
      <c r="G192" s="2"/>
      <c r="H192" s="2"/>
      <c r="I192" s="2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8"/>
      <c r="FF192" s="98"/>
      <c r="FG192" s="98"/>
      <c r="FH192" s="98"/>
      <c r="FI192" s="98"/>
      <c r="FJ192" s="98"/>
      <c r="FK192" s="98"/>
      <c r="FL192" s="98"/>
      <c r="FM192" s="98"/>
      <c r="FN192" s="98"/>
      <c r="FO192" s="98"/>
      <c r="FP192" s="98"/>
      <c r="FQ192" s="98"/>
      <c r="FR192" s="98"/>
      <c r="FS192" s="98"/>
      <c r="FT192" s="98"/>
      <c r="FU192" s="98"/>
    </row>
    <row r="193" spans="2:177" s="1" customFormat="1" ht="15.75">
      <c r="B193" s="2"/>
      <c r="C193" s="2"/>
      <c r="D193" s="2"/>
      <c r="E193" s="2"/>
      <c r="F193" s="2"/>
      <c r="G193" s="2"/>
      <c r="H193" s="2"/>
      <c r="I193" s="2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8"/>
      <c r="FH193" s="98"/>
      <c r="FI193" s="98"/>
      <c r="FJ193" s="98"/>
      <c r="FK193" s="98"/>
      <c r="FL193" s="98"/>
      <c r="FM193" s="98"/>
      <c r="FN193" s="98"/>
      <c r="FO193" s="98"/>
      <c r="FP193" s="98"/>
      <c r="FQ193" s="98"/>
      <c r="FR193" s="98"/>
      <c r="FS193" s="98"/>
      <c r="FT193" s="98"/>
      <c r="FU193" s="98"/>
    </row>
    <row r="194" spans="10:177" s="1" customFormat="1" ht="15.75"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  <c r="DV194" s="98"/>
      <c r="DW194" s="98"/>
      <c r="DX194" s="98"/>
      <c r="DY194" s="98"/>
      <c r="DZ194" s="98"/>
      <c r="EA194" s="98"/>
      <c r="EB194" s="98"/>
      <c r="EC194" s="98"/>
      <c r="ED194" s="98"/>
      <c r="EE194" s="98"/>
      <c r="EF194" s="98"/>
      <c r="EG194" s="98"/>
      <c r="EH194" s="9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8"/>
      <c r="FK194" s="98"/>
      <c r="FL194" s="98"/>
      <c r="FM194" s="98"/>
      <c r="FN194" s="98"/>
      <c r="FO194" s="98"/>
      <c r="FP194" s="98"/>
      <c r="FQ194" s="98"/>
      <c r="FR194" s="98"/>
      <c r="FS194" s="98"/>
      <c r="FT194" s="98"/>
      <c r="FU194" s="98"/>
    </row>
    <row r="195" spans="10:177" s="1" customFormat="1" ht="15.75"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98"/>
      <c r="DU195" s="98"/>
      <c r="DV195" s="98"/>
      <c r="DW195" s="98"/>
      <c r="DX195" s="98"/>
      <c r="DY195" s="98"/>
      <c r="DZ195" s="98"/>
      <c r="EA195" s="98"/>
      <c r="EB195" s="98"/>
      <c r="EC195" s="98"/>
      <c r="ED195" s="98"/>
      <c r="EE195" s="98"/>
      <c r="EF195" s="98"/>
      <c r="EG195" s="98"/>
      <c r="EH195" s="98"/>
      <c r="EI195" s="98"/>
      <c r="EJ195" s="98"/>
      <c r="EK195" s="98"/>
      <c r="EL195" s="98"/>
      <c r="EM195" s="98"/>
      <c r="EN195" s="98"/>
      <c r="EO195" s="98"/>
      <c r="EP195" s="98"/>
      <c r="EQ195" s="98"/>
      <c r="ER195" s="98"/>
      <c r="ES195" s="98"/>
      <c r="ET195" s="98"/>
      <c r="EU195" s="98"/>
      <c r="EV195" s="98"/>
      <c r="EW195" s="98"/>
      <c r="EX195" s="98"/>
      <c r="EY195" s="98"/>
      <c r="EZ195" s="98"/>
      <c r="FA195" s="98"/>
      <c r="FB195" s="98"/>
      <c r="FC195" s="98"/>
      <c r="FD195" s="98"/>
      <c r="FE195" s="98"/>
      <c r="FF195" s="98"/>
      <c r="FG195" s="98"/>
      <c r="FH195" s="98"/>
      <c r="FI195" s="98"/>
      <c r="FJ195" s="98"/>
      <c r="FK195" s="98"/>
      <c r="FL195" s="98"/>
      <c r="FM195" s="98"/>
      <c r="FN195" s="98"/>
      <c r="FO195" s="98"/>
      <c r="FP195" s="98"/>
      <c r="FQ195" s="98"/>
      <c r="FR195" s="98"/>
      <c r="FS195" s="98"/>
      <c r="FT195" s="98"/>
      <c r="FU195" s="98"/>
    </row>
    <row r="196" spans="10:177" s="1" customFormat="1" ht="15.75"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  <c r="DQ196" s="98"/>
      <c r="DR196" s="98"/>
      <c r="DS196" s="98"/>
      <c r="DT196" s="98"/>
      <c r="DU196" s="98"/>
      <c r="DV196" s="98"/>
      <c r="DW196" s="98"/>
      <c r="DX196" s="98"/>
      <c r="DY196" s="98"/>
      <c r="DZ196" s="98"/>
      <c r="EA196" s="98"/>
      <c r="EB196" s="98"/>
      <c r="EC196" s="98"/>
      <c r="ED196" s="98"/>
      <c r="EE196" s="98"/>
      <c r="EF196" s="98"/>
      <c r="EG196" s="98"/>
      <c r="EH196" s="98"/>
      <c r="EI196" s="98"/>
      <c r="EJ196" s="98"/>
      <c r="EK196" s="98"/>
      <c r="EL196" s="98"/>
      <c r="EM196" s="98"/>
      <c r="EN196" s="98"/>
      <c r="EO196" s="98"/>
      <c r="EP196" s="98"/>
      <c r="EQ196" s="98"/>
      <c r="ER196" s="98"/>
      <c r="ES196" s="98"/>
      <c r="ET196" s="98"/>
      <c r="EU196" s="98"/>
      <c r="EV196" s="98"/>
      <c r="EW196" s="98"/>
      <c r="EX196" s="98"/>
      <c r="EY196" s="98"/>
      <c r="EZ196" s="98"/>
      <c r="FA196" s="98"/>
      <c r="FB196" s="98"/>
      <c r="FC196" s="98"/>
      <c r="FD196" s="98"/>
      <c r="FE196" s="98"/>
      <c r="FF196" s="98"/>
      <c r="FG196" s="98"/>
      <c r="FH196" s="98"/>
      <c r="FI196" s="98"/>
      <c r="FJ196" s="98"/>
      <c r="FK196" s="98"/>
      <c r="FL196" s="98"/>
      <c r="FM196" s="98"/>
      <c r="FN196" s="98"/>
      <c r="FO196" s="98"/>
      <c r="FP196" s="98"/>
      <c r="FQ196" s="98"/>
      <c r="FR196" s="98"/>
      <c r="FS196" s="98"/>
      <c r="FT196" s="98"/>
      <c r="FU196" s="98"/>
    </row>
    <row r="197" spans="10:177" s="1" customFormat="1" ht="15.75"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  <c r="DT197" s="98"/>
      <c r="DU197" s="98"/>
      <c r="DV197" s="98"/>
      <c r="DW197" s="98"/>
      <c r="DX197" s="98"/>
      <c r="DY197" s="98"/>
      <c r="DZ197" s="98"/>
      <c r="EA197" s="98"/>
      <c r="EB197" s="98"/>
      <c r="EC197" s="98"/>
      <c r="ED197" s="98"/>
      <c r="EE197" s="98"/>
      <c r="EF197" s="98"/>
      <c r="EG197" s="98"/>
      <c r="EH197" s="98"/>
      <c r="EI197" s="98"/>
      <c r="EJ197" s="98"/>
      <c r="EK197" s="98"/>
      <c r="EL197" s="98"/>
      <c r="EM197" s="98"/>
      <c r="EN197" s="98"/>
      <c r="EO197" s="98"/>
      <c r="EP197" s="98"/>
      <c r="EQ197" s="98"/>
      <c r="ER197" s="98"/>
      <c r="ES197" s="98"/>
      <c r="ET197" s="98"/>
      <c r="EU197" s="98"/>
      <c r="EV197" s="98"/>
      <c r="EW197" s="98"/>
      <c r="EX197" s="98"/>
      <c r="EY197" s="98"/>
      <c r="EZ197" s="98"/>
      <c r="FA197" s="98"/>
      <c r="FB197" s="98"/>
      <c r="FC197" s="98"/>
      <c r="FD197" s="98"/>
      <c r="FE197" s="98"/>
      <c r="FF197" s="98"/>
      <c r="FG197" s="98"/>
      <c r="FH197" s="98"/>
      <c r="FI197" s="98"/>
      <c r="FJ197" s="98"/>
      <c r="FK197" s="98"/>
      <c r="FL197" s="98"/>
      <c r="FM197" s="98"/>
      <c r="FN197" s="98"/>
      <c r="FO197" s="98"/>
      <c r="FP197" s="98"/>
      <c r="FQ197" s="98"/>
      <c r="FR197" s="98"/>
      <c r="FS197" s="98"/>
      <c r="FT197" s="98"/>
      <c r="FU197" s="98"/>
    </row>
    <row r="198" spans="10:177" s="1" customFormat="1" ht="15.75"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  <c r="DV198" s="98"/>
      <c r="DW198" s="98"/>
      <c r="DX198" s="98"/>
      <c r="DY198" s="98"/>
      <c r="DZ198" s="98"/>
      <c r="EA198" s="98"/>
      <c r="EB198" s="98"/>
      <c r="EC198" s="98"/>
      <c r="ED198" s="98"/>
      <c r="EE198" s="98"/>
      <c r="EF198" s="98"/>
      <c r="EG198" s="98"/>
      <c r="EH198" s="9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8"/>
      <c r="FF198" s="98"/>
      <c r="FG198" s="98"/>
      <c r="FH198" s="98"/>
      <c r="FI198" s="98"/>
      <c r="FJ198" s="98"/>
      <c r="FK198" s="98"/>
      <c r="FL198" s="98"/>
      <c r="FM198" s="98"/>
      <c r="FN198" s="98"/>
      <c r="FO198" s="98"/>
      <c r="FP198" s="98"/>
      <c r="FQ198" s="98"/>
      <c r="FR198" s="98"/>
      <c r="FS198" s="98"/>
      <c r="FT198" s="98"/>
      <c r="FU198" s="98"/>
    </row>
    <row r="199" spans="10:177" s="1" customFormat="1" ht="15.75"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  <c r="DT199" s="98"/>
      <c r="DU199" s="98"/>
      <c r="DV199" s="98"/>
      <c r="DW199" s="98"/>
      <c r="DX199" s="98"/>
      <c r="DY199" s="98"/>
      <c r="DZ199" s="98"/>
      <c r="EA199" s="98"/>
      <c r="EB199" s="98"/>
      <c r="EC199" s="98"/>
      <c r="ED199" s="98"/>
      <c r="EE199" s="98"/>
      <c r="EF199" s="98"/>
      <c r="EG199" s="98"/>
      <c r="EH199" s="98"/>
      <c r="EI199" s="98"/>
      <c r="EJ199" s="98"/>
      <c r="EK199" s="98"/>
      <c r="EL199" s="98"/>
      <c r="EM199" s="98"/>
      <c r="EN199" s="98"/>
      <c r="EO199" s="98"/>
      <c r="EP199" s="98"/>
      <c r="EQ199" s="98"/>
      <c r="ER199" s="98"/>
      <c r="ES199" s="98"/>
      <c r="ET199" s="98"/>
      <c r="EU199" s="98"/>
      <c r="EV199" s="98"/>
      <c r="EW199" s="98"/>
      <c r="EX199" s="98"/>
      <c r="EY199" s="98"/>
      <c r="EZ199" s="98"/>
      <c r="FA199" s="98"/>
      <c r="FB199" s="98"/>
      <c r="FC199" s="98"/>
      <c r="FD199" s="98"/>
      <c r="FE199" s="98"/>
      <c r="FF199" s="98"/>
      <c r="FG199" s="98"/>
      <c r="FH199" s="98"/>
      <c r="FI199" s="98"/>
      <c r="FJ199" s="98"/>
      <c r="FK199" s="98"/>
      <c r="FL199" s="98"/>
      <c r="FM199" s="98"/>
      <c r="FN199" s="98"/>
      <c r="FO199" s="98"/>
      <c r="FP199" s="98"/>
      <c r="FQ199" s="98"/>
      <c r="FR199" s="98"/>
      <c r="FS199" s="98"/>
      <c r="FT199" s="98"/>
      <c r="FU199" s="98"/>
    </row>
    <row r="200" spans="10:177" s="1" customFormat="1" ht="15.75"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  <c r="DT200" s="98"/>
      <c r="DU200" s="98"/>
      <c r="DV200" s="98"/>
      <c r="DW200" s="98"/>
      <c r="DX200" s="98"/>
      <c r="DY200" s="98"/>
      <c r="DZ200" s="98"/>
      <c r="EA200" s="98"/>
      <c r="EB200" s="98"/>
      <c r="EC200" s="98"/>
      <c r="ED200" s="98"/>
      <c r="EE200" s="98"/>
      <c r="EF200" s="98"/>
      <c r="EG200" s="98"/>
      <c r="EH200" s="98"/>
      <c r="EI200" s="98"/>
      <c r="EJ200" s="98"/>
      <c r="EK200" s="98"/>
      <c r="EL200" s="98"/>
      <c r="EM200" s="98"/>
      <c r="EN200" s="98"/>
      <c r="EO200" s="98"/>
      <c r="EP200" s="98"/>
      <c r="EQ200" s="98"/>
      <c r="ER200" s="98"/>
      <c r="ES200" s="98"/>
      <c r="ET200" s="98"/>
      <c r="EU200" s="98"/>
      <c r="EV200" s="98"/>
      <c r="EW200" s="98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98"/>
      <c r="FI200" s="98"/>
      <c r="FJ200" s="98"/>
      <c r="FK200" s="98"/>
      <c r="FL200" s="98"/>
      <c r="FM200" s="98"/>
      <c r="FN200" s="98"/>
      <c r="FO200" s="98"/>
      <c r="FP200" s="98"/>
      <c r="FQ200" s="98"/>
      <c r="FR200" s="98"/>
      <c r="FS200" s="98"/>
      <c r="FT200" s="98"/>
      <c r="FU200" s="98"/>
    </row>
    <row r="201" spans="10:177" s="1" customFormat="1" ht="15.75"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98"/>
      <c r="DU201" s="98"/>
      <c r="DV201" s="98"/>
      <c r="DW201" s="98"/>
      <c r="DX201" s="98"/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/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8"/>
      <c r="EY201" s="98"/>
      <c r="EZ201" s="98"/>
      <c r="FA201" s="98"/>
      <c r="FB201" s="98"/>
      <c r="FC201" s="98"/>
      <c r="FD201" s="98"/>
      <c r="FE201" s="98"/>
      <c r="FF201" s="98"/>
      <c r="FG201" s="98"/>
      <c r="FH201" s="98"/>
      <c r="FI201" s="98"/>
      <c r="FJ201" s="98"/>
      <c r="FK201" s="98"/>
      <c r="FL201" s="98"/>
      <c r="FM201" s="98"/>
      <c r="FN201" s="98"/>
      <c r="FO201" s="98"/>
      <c r="FP201" s="98"/>
      <c r="FQ201" s="98"/>
      <c r="FR201" s="98"/>
      <c r="FS201" s="98"/>
      <c r="FT201" s="98"/>
      <c r="FU201" s="98"/>
    </row>
    <row r="202" spans="10:177" s="1" customFormat="1" ht="15.75"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</row>
    <row r="203" spans="10:177" s="1" customFormat="1" ht="15.75"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</row>
    <row r="204" spans="10:177" s="1" customFormat="1" ht="15.75"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8"/>
      <c r="FK204" s="98"/>
      <c r="FL204" s="98"/>
      <c r="FM204" s="98"/>
      <c r="FN204" s="98"/>
      <c r="FO204" s="98"/>
      <c r="FP204" s="98"/>
      <c r="FQ204" s="98"/>
      <c r="FR204" s="98"/>
      <c r="FS204" s="98"/>
      <c r="FT204" s="98"/>
      <c r="FU204" s="98"/>
    </row>
    <row r="205" spans="10:177" s="1" customFormat="1" ht="15.75"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</row>
    <row r="206" spans="10:177" s="1" customFormat="1" ht="15.75"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8"/>
      <c r="FU206" s="98"/>
    </row>
    <row r="207" spans="10:177" s="1" customFormat="1" ht="15.75"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/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98"/>
      <c r="FI207" s="98"/>
      <c r="FJ207" s="98"/>
      <c r="FK207" s="98"/>
      <c r="FL207" s="98"/>
      <c r="FM207" s="98"/>
      <c r="FN207" s="98"/>
      <c r="FO207" s="98"/>
      <c r="FP207" s="98"/>
      <c r="FQ207" s="98"/>
      <c r="FR207" s="98"/>
      <c r="FS207" s="98"/>
      <c r="FT207" s="98"/>
      <c r="FU207" s="98"/>
    </row>
    <row r="208" spans="10:177" s="1" customFormat="1" ht="15.75"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  <c r="DQ208" s="9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98"/>
      <c r="EF208" s="98"/>
      <c r="EG208" s="98"/>
      <c r="EH208" s="98"/>
      <c r="EI208" s="98"/>
      <c r="EJ208" s="98"/>
      <c r="EK208" s="98"/>
      <c r="EL208" s="98"/>
      <c r="EM208" s="98"/>
      <c r="EN208" s="98"/>
      <c r="EO208" s="98"/>
      <c r="EP208" s="98"/>
      <c r="EQ208" s="98"/>
      <c r="ER208" s="98"/>
      <c r="ES208" s="98"/>
      <c r="ET208" s="98"/>
      <c r="EU208" s="98"/>
      <c r="EV208" s="98"/>
      <c r="EW208" s="98"/>
      <c r="EX208" s="98"/>
      <c r="EY208" s="98"/>
      <c r="EZ208" s="98"/>
      <c r="FA208" s="98"/>
      <c r="FB208" s="98"/>
      <c r="FC208" s="98"/>
      <c r="FD208" s="98"/>
      <c r="FE208" s="98"/>
      <c r="FF208" s="98"/>
      <c r="FG208" s="98"/>
      <c r="FH208" s="98"/>
      <c r="FI208" s="98"/>
      <c r="FJ208" s="98"/>
      <c r="FK208" s="98"/>
      <c r="FL208" s="98"/>
      <c r="FM208" s="98"/>
      <c r="FN208" s="98"/>
      <c r="FO208" s="98"/>
      <c r="FP208" s="98"/>
      <c r="FQ208" s="98"/>
      <c r="FR208" s="98"/>
      <c r="FS208" s="98"/>
      <c r="FT208" s="98"/>
      <c r="FU208" s="98"/>
    </row>
    <row r="209" spans="10:177" s="1" customFormat="1" ht="15.75"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98"/>
      <c r="FI209" s="98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8"/>
      <c r="FU209" s="98"/>
    </row>
    <row r="210" spans="10:177" s="1" customFormat="1" ht="15.75"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98"/>
      <c r="DK210" s="98"/>
      <c r="DL210" s="98"/>
      <c r="DM210" s="98"/>
      <c r="DN210" s="98"/>
      <c r="DO210" s="98"/>
      <c r="DP210" s="98"/>
      <c r="DQ210" s="98"/>
      <c r="DR210" s="98"/>
      <c r="DS210" s="98"/>
      <c r="DT210" s="98"/>
      <c r="DU210" s="98"/>
      <c r="DV210" s="98"/>
      <c r="DW210" s="98"/>
      <c r="DX210" s="98"/>
      <c r="DY210" s="98"/>
      <c r="DZ210" s="98"/>
      <c r="EA210" s="98"/>
      <c r="EB210" s="98"/>
      <c r="EC210" s="98"/>
      <c r="ED210" s="98"/>
      <c r="EE210" s="98"/>
      <c r="EF210" s="98"/>
      <c r="EG210" s="98"/>
      <c r="EH210" s="98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8"/>
      <c r="FU210" s="98"/>
    </row>
    <row r="211" spans="10:177" s="1" customFormat="1" ht="15.75"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  <c r="DQ211" s="9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98"/>
      <c r="EF211" s="98"/>
      <c r="EG211" s="98"/>
      <c r="EH211" s="98"/>
      <c r="EI211" s="98"/>
      <c r="EJ211" s="98"/>
      <c r="EK211" s="98"/>
      <c r="EL211" s="98"/>
      <c r="EM211" s="98"/>
      <c r="EN211" s="98"/>
      <c r="EO211" s="98"/>
      <c r="EP211" s="98"/>
      <c r="EQ211" s="98"/>
      <c r="ER211" s="98"/>
      <c r="ES211" s="98"/>
      <c r="ET211" s="98"/>
      <c r="EU211" s="98"/>
      <c r="EV211" s="98"/>
      <c r="EW211" s="98"/>
      <c r="EX211" s="98"/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8"/>
      <c r="FK211" s="98"/>
      <c r="FL211" s="98"/>
      <c r="FM211" s="98"/>
      <c r="FN211" s="98"/>
      <c r="FO211" s="98"/>
      <c r="FP211" s="98"/>
      <c r="FQ211" s="98"/>
      <c r="FR211" s="98"/>
      <c r="FS211" s="98"/>
      <c r="FT211" s="98"/>
      <c r="FU211" s="98"/>
    </row>
    <row r="212" spans="10:177" s="1" customFormat="1" ht="15.75"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98"/>
      <c r="DK212" s="98"/>
      <c r="DL212" s="98"/>
      <c r="DM212" s="98"/>
      <c r="DN212" s="98"/>
      <c r="DO212" s="98"/>
      <c r="DP212" s="98"/>
      <c r="DQ212" s="98"/>
      <c r="DR212" s="98"/>
      <c r="DS212" s="98"/>
      <c r="DT212" s="98"/>
      <c r="DU212" s="98"/>
      <c r="DV212" s="98"/>
      <c r="DW212" s="98"/>
      <c r="DX212" s="98"/>
      <c r="DY212" s="98"/>
      <c r="DZ212" s="98"/>
      <c r="EA212" s="98"/>
      <c r="EB212" s="98"/>
      <c r="EC212" s="98"/>
      <c r="ED212" s="98"/>
      <c r="EE212" s="98"/>
      <c r="EF212" s="98"/>
      <c r="EG212" s="98"/>
      <c r="EH212" s="98"/>
      <c r="EI212" s="98"/>
      <c r="EJ212" s="98"/>
      <c r="EK212" s="98"/>
      <c r="EL212" s="98"/>
      <c r="EM212" s="98"/>
      <c r="EN212" s="98"/>
      <c r="EO212" s="98"/>
      <c r="EP212" s="98"/>
      <c r="EQ212" s="98"/>
      <c r="ER212" s="98"/>
      <c r="ES212" s="98"/>
      <c r="ET212" s="98"/>
      <c r="EU212" s="98"/>
      <c r="EV212" s="98"/>
      <c r="EW212" s="98"/>
      <c r="EX212" s="98"/>
      <c r="EY212" s="98"/>
      <c r="EZ212" s="98"/>
      <c r="FA212" s="98"/>
      <c r="FB212" s="98"/>
      <c r="FC212" s="98"/>
      <c r="FD212" s="98"/>
      <c r="FE212" s="98"/>
      <c r="FF212" s="98"/>
      <c r="FG212" s="98"/>
      <c r="FH212" s="98"/>
      <c r="FI212" s="98"/>
      <c r="FJ212" s="98"/>
      <c r="FK212" s="98"/>
      <c r="FL212" s="98"/>
      <c r="FM212" s="98"/>
      <c r="FN212" s="98"/>
      <c r="FO212" s="98"/>
      <c r="FP212" s="98"/>
      <c r="FQ212" s="98"/>
      <c r="FR212" s="98"/>
      <c r="FS212" s="98"/>
      <c r="FT212" s="98"/>
      <c r="FU212" s="98"/>
    </row>
    <row r="213" spans="10:177" s="1" customFormat="1" ht="15.75"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  <c r="DF213" s="98"/>
      <c r="DG213" s="98"/>
      <c r="DH213" s="98"/>
      <c r="DI213" s="98"/>
      <c r="DJ213" s="98"/>
      <c r="DK213" s="98"/>
      <c r="DL213" s="98"/>
      <c r="DM213" s="98"/>
      <c r="DN213" s="98"/>
      <c r="DO213" s="98"/>
      <c r="DP213" s="98"/>
      <c r="DQ213" s="98"/>
      <c r="DR213" s="98"/>
      <c r="DS213" s="98"/>
      <c r="DT213" s="98"/>
      <c r="DU213" s="98"/>
      <c r="DV213" s="98"/>
      <c r="DW213" s="98"/>
      <c r="DX213" s="98"/>
      <c r="DY213" s="98"/>
      <c r="DZ213" s="98"/>
      <c r="EA213" s="98"/>
      <c r="EB213" s="98"/>
      <c r="EC213" s="98"/>
      <c r="ED213" s="98"/>
      <c r="EE213" s="98"/>
      <c r="EF213" s="98"/>
      <c r="EG213" s="98"/>
      <c r="EH213" s="98"/>
      <c r="EI213" s="98"/>
      <c r="EJ213" s="98"/>
      <c r="EK213" s="98"/>
      <c r="EL213" s="98"/>
      <c r="EM213" s="98"/>
      <c r="EN213" s="98"/>
      <c r="EO213" s="98"/>
      <c r="EP213" s="98"/>
      <c r="EQ213" s="98"/>
      <c r="ER213" s="98"/>
      <c r="ES213" s="98"/>
      <c r="ET213" s="98"/>
      <c r="EU213" s="98"/>
      <c r="EV213" s="98"/>
      <c r="EW213" s="98"/>
      <c r="EX213" s="98"/>
      <c r="EY213" s="98"/>
      <c r="EZ213" s="98"/>
      <c r="FA213" s="98"/>
      <c r="FB213" s="98"/>
      <c r="FC213" s="98"/>
      <c r="FD213" s="98"/>
      <c r="FE213" s="98"/>
      <c r="FF213" s="98"/>
      <c r="FG213" s="98"/>
      <c r="FH213" s="98"/>
      <c r="FI213" s="98"/>
      <c r="FJ213" s="98"/>
      <c r="FK213" s="98"/>
      <c r="FL213" s="98"/>
      <c r="FM213" s="98"/>
      <c r="FN213" s="98"/>
      <c r="FO213" s="98"/>
      <c r="FP213" s="98"/>
      <c r="FQ213" s="98"/>
      <c r="FR213" s="98"/>
      <c r="FS213" s="98"/>
      <c r="FT213" s="98"/>
      <c r="FU213" s="98"/>
    </row>
    <row r="214" spans="10:177" s="1" customFormat="1" ht="15.75"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  <c r="DQ214" s="98"/>
      <c r="DR214" s="98"/>
      <c r="DS214" s="98"/>
      <c r="DT214" s="98"/>
      <c r="DU214" s="98"/>
      <c r="DV214" s="98"/>
      <c r="DW214" s="98"/>
      <c r="DX214" s="98"/>
      <c r="DY214" s="98"/>
      <c r="DZ214" s="98"/>
      <c r="EA214" s="98"/>
      <c r="EB214" s="98"/>
      <c r="EC214" s="98"/>
      <c r="ED214" s="98"/>
      <c r="EE214" s="98"/>
      <c r="EF214" s="98"/>
      <c r="EG214" s="98"/>
      <c r="EH214" s="98"/>
      <c r="EI214" s="98"/>
      <c r="EJ214" s="98"/>
      <c r="EK214" s="98"/>
      <c r="EL214" s="98"/>
      <c r="EM214" s="98"/>
      <c r="EN214" s="98"/>
      <c r="EO214" s="98"/>
      <c r="EP214" s="98"/>
      <c r="EQ214" s="98"/>
      <c r="ER214" s="98"/>
      <c r="ES214" s="98"/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98"/>
      <c r="FI214" s="98"/>
      <c r="FJ214" s="98"/>
      <c r="FK214" s="98"/>
      <c r="FL214" s="98"/>
      <c r="FM214" s="98"/>
      <c r="FN214" s="98"/>
      <c r="FO214" s="98"/>
      <c r="FP214" s="98"/>
      <c r="FQ214" s="98"/>
      <c r="FR214" s="98"/>
      <c r="FS214" s="98"/>
      <c r="FT214" s="98"/>
      <c r="FU214" s="98"/>
    </row>
    <row r="215" spans="10:177" s="1" customFormat="1" ht="15.75"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8"/>
      <c r="DY215" s="98"/>
      <c r="DZ215" s="98"/>
      <c r="EA215" s="98"/>
      <c r="EB215" s="98"/>
      <c r="EC215" s="98"/>
      <c r="ED215" s="98"/>
      <c r="EE215" s="98"/>
      <c r="EF215" s="98"/>
      <c r="EG215" s="98"/>
      <c r="EH215" s="98"/>
      <c r="EI215" s="98"/>
      <c r="EJ215" s="98"/>
      <c r="EK215" s="98"/>
      <c r="EL215" s="98"/>
      <c r="EM215" s="98"/>
      <c r="EN215" s="98"/>
      <c r="EO215" s="98"/>
      <c r="EP215" s="98"/>
      <c r="EQ215" s="98"/>
      <c r="ER215" s="98"/>
      <c r="ES215" s="98"/>
      <c r="ET215" s="98"/>
      <c r="EU215" s="98"/>
      <c r="EV215" s="98"/>
      <c r="EW215" s="98"/>
      <c r="EX215" s="98"/>
      <c r="EY215" s="98"/>
      <c r="EZ215" s="98"/>
      <c r="FA215" s="98"/>
      <c r="FB215" s="98"/>
      <c r="FC215" s="98"/>
      <c r="FD215" s="98"/>
      <c r="FE215" s="98"/>
      <c r="FF215" s="98"/>
      <c r="FG215" s="98"/>
      <c r="FH215" s="98"/>
      <c r="FI215" s="98"/>
      <c r="FJ215" s="98"/>
      <c r="FK215" s="98"/>
      <c r="FL215" s="98"/>
      <c r="FM215" s="98"/>
      <c r="FN215" s="98"/>
      <c r="FO215" s="98"/>
      <c r="FP215" s="98"/>
      <c r="FQ215" s="98"/>
      <c r="FR215" s="98"/>
      <c r="FS215" s="98"/>
      <c r="FT215" s="98"/>
      <c r="FU215" s="98"/>
    </row>
    <row r="216" spans="10:177" s="1" customFormat="1" ht="15.75"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  <c r="DQ216" s="98"/>
      <c r="DR216" s="98"/>
      <c r="DS216" s="98"/>
      <c r="DT216" s="98"/>
      <c r="DU216" s="98"/>
      <c r="DV216" s="98"/>
      <c r="DW216" s="98"/>
      <c r="DX216" s="98"/>
      <c r="DY216" s="98"/>
      <c r="DZ216" s="98"/>
      <c r="EA216" s="98"/>
      <c r="EB216" s="98"/>
      <c r="EC216" s="98"/>
      <c r="ED216" s="98"/>
      <c r="EE216" s="98"/>
      <c r="EF216" s="98"/>
      <c r="EG216" s="98"/>
      <c r="EH216" s="98"/>
      <c r="EI216" s="98"/>
      <c r="EJ216" s="98"/>
      <c r="EK216" s="98"/>
      <c r="EL216" s="98"/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  <c r="EY216" s="98"/>
      <c r="EZ216" s="98"/>
      <c r="FA216" s="98"/>
      <c r="FB216" s="98"/>
      <c r="FC216" s="98"/>
      <c r="FD216" s="98"/>
      <c r="FE216" s="98"/>
      <c r="FF216" s="98"/>
      <c r="FG216" s="98"/>
      <c r="FH216" s="98"/>
      <c r="FI216" s="98"/>
      <c r="FJ216" s="98"/>
      <c r="FK216" s="98"/>
      <c r="FL216" s="98"/>
      <c r="FM216" s="98"/>
      <c r="FN216" s="98"/>
      <c r="FO216" s="98"/>
      <c r="FP216" s="98"/>
      <c r="FQ216" s="98"/>
      <c r="FR216" s="98"/>
      <c r="FS216" s="98"/>
      <c r="FT216" s="98"/>
      <c r="FU216" s="98"/>
    </row>
    <row r="217" spans="10:177" s="1" customFormat="1" ht="15.75"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  <c r="DG217" s="98"/>
      <c r="DH217" s="98"/>
      <c r="DI217" s="98"/>
      <c r="DJ217" s="98"/>
      <c r="DK217" s="98"/>
      <c r="DL217" s="98"/>
      <c r="DM217" s="98"/>
      <c r="DN217" s="98"/>
      <c r="DO217" s="98"/>
      <c r="DP217" s="98"/>
      <c r="DQ217" s="98"/>
      <c r="DR217" s="98"/>
      <c r="DS217" s="98"/>
      <c r="DT217" s="98"/>
      <c r="DU217" s="98"/>
      <c r="DV217" s="98"/>
      <c r="DW217" s="98"/>
      <c r="DX217" s="98"/>
      <c r="DY217" s="98"/>
      <c r="DZ217" s="98"/>
      <c r="EA217" s="98"/>
      <c r="EB217" s="98"/>
      <c r="EC217" s="98"/>
      <c r="ED217" s="98"/>
      <c r="EE217" s="98"/>
      <c r="EF217" s="98"/>
      <c r="EG217" s="98"/>
      <c r="EH217" s="98"/>
      <c r="EI217" s="98"/>
      <c r="EJ217" s="98"/>
      <c r="EK217" s="98"/>
      <c r="EL217" s="98"/>
      <c r="EM217" s="98"/>
      <c r="EN217" s="98"/>
      <c r="EO217" s="98"/>
      <c r="EP217" s="98"/>
      <c r="EQ217" s="98"/>
      <c r="ER217" s="98"/>
      <c r="ES217" s="98"/>
      <c r="ET217" s="98"/>
      <c r="EU217" s="98"/>
      <c r="EV217" s="98"/>
      <c r="EW217" s="98"/>
      <c r="EX217" s="98"/>
      <c r="EY217" s="98"/>
      <c r="EZ217" s="98"/>
      <c r="FA217" s="98"/>
      <c r="FB217" s="98"/>
      <c r="FC217" s="98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98"/>
      <c r="FQ217" s="98"/>
      <c r="FR217" s="98"/>
      <c r="FS217" s="98"/>
      <c r="FT217" s="98"/>
      <c r="FU217" s="98"/>
    </row>
    <row r="218" spans="10:177" s="1" customFormat="1" ht="15.75"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  <c r="DQ218" s="98"/>
      <c r="DR218" s="98"/>
      <c r="DS218" s="98"/>
      <c r="DT218" s="98"/>
      <c r="DU218" s="98"/>
      <c r="DV218" s="98"/>
      <c r="DW218" s="98"/>
      <c r="DX218" s="98"/>
      <c r="DY218" s="98"/>
      <c r="DZ218" s="98"/>
      <c r="EA218" s="98"/>
      <c r="EB218" s="98"/>
      <c r="EC218" s="98"/>
      <c r="ED218" s="98"/>
      <c r="EE218" s="98"/>
      <c r="EF218" s="98"/>
      <c r="EG218" s="98"/>
      <c r="EH218" s="98"/>
      <c r="EI218" s="98"/>
      <c r="EJ218" s="98"/>
      <c r="EK218" s="98"/>
      <c r="EL218" s="98"/>
      <c r="EM218" s="98"/>
      <c r="EN218" s="98"/>
      <c r="EO218" s="98"/>
      <c r="EP218" s="98"/>
      <c r="EQ218" s="98"/>
      <c r="ER218" s="98"/>
      <c r="ES218" s="98"/>
      <c r="ET218" s="98"/>
      <c r="EU218" s="98"/>
      <c r="EV218" s="98"/>
      <c r="EW218" s="98"/>
      <c r="EX218" s="98"/>
      <c r="EY218" s="98"/>
      <c r="EZ218" s="98"/>
      <c r="FA218" s="98"/>
      <c r="FB218" s="98"/>
      <c r="FC218" s="98"/>
      <c r="FD218" s="98"/>
      <c r="FE218" s="98"/>
      <c r="FF218" s="98"/>
      <c r="FG218" s="98"/>
      <c r="FH218" s="98"/>
      <c r="FI218" s="98"/>
      <c r="FJ218" s="98"/>
      <c r="FK218" s="98"/>
      <c r="FL218" s="98"/>
      <c r="FM218" s="98"/>
      <c r="FN218" s="98"/>
      <c r="FO218" s="98"/>
      <c r="FP218" s="98"/>
      <c r="FQ218" s="98"/>
      <c r="FR218" s="98"/>
      <c r="FS218" s="98"/>
      <c r="FT218" s="98"/>
      <c r="FU218" s="98"/>
    </row>
    <row r="219" spans="10:177" s="1" customFormat="1" ht="15.75"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  <c r="DQ219" s="98"/>
      <c r="DR219" s="98"/>
      <c r="DS219" s="98"/>
      <c r="DT219" s="98"/>
      <c r="DU219" s="98"/>
      <c r="DV219" s="98"/>
      <c r="DW219" s="98"/>
      <c r="DX219" s="98"/>
      <c r="DY219" s="98"/>
      <c r="DZ219" s="98"/>
      <c r="EA219" s="98"/>
      <c r="EB219" s="98"/>
      <c r="EC219" s="98"/>
      <c r="ED219" s="98"/>
      <c r="EE219" s="98"/>
      <c r="EF219" s="98"/>
      <c r="EG219" s="98"/>
      <c r="EH219" s="98"/>
      <c r="EI219" s="98"/>
      <c r="EJ219" s="98"/>
      <c r="EK219" s="98"/>
      <c r="EL219" s="98"/>
      <c r="EM219" s="98"/>
      <c r="EN219" s="98"/>
      <c r="EO219" s="98"/>
      <c r="EP219" s="98"/>
      <c r="EQ219" s="98"/>
      <c r="ER219" s="98"/>
      <c r="ES219" s="98"/>
      <c r="ET219" s="98"/>
      <c r="EU219" s="98"/>
      <c r="EV219" s="98"/>
      <c r="EW219" s="98"/>
      <c r="EX219" s="98"/>
      <c r="EY219" s="98"/>
      <c r="EZ219" s="98"/>
      <c r="FA219" s="98"/>
      <c r="FB219" s="98"/>
      <c r="FC219" s="98"/>
      <c r="FD219" s="98"/>
      <c r="FE219" s="98"/>
      <c r="FF219" s="98"/>
      <c r="FG219" s="98"/>
      <c r="FH219" s="98"/>
      <c r="FI219" s="98"/>
      <c r="FJ219" s="98"/>
      <c r="FK219" s="98"/>
      <c r="FL219" s="98"/>
      <c r="FM219" s="98"/>
      <c r="FN219" s="98"/>
      <c r="FO219" s="98"/>
      <c r="FP219" s="98"/>
      <c r="FQ219" s="98"/>
      <c r="FR219" s="98"/>
      <c r="FS219" s="98"/>
      <c r="FT219" s="98"/>
      <c r="FU219" s="98"/>
    </row>
    <row r="220" spans="10:177" s="1" customFormat="1" ht="15.75"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  <c r="DT220" s="98"/>
      <c r="DU220" s="98"/>
      <c r="DV220" s="98"/>
      <c r="DW220" s="98"/>
      <c r="DX220" s="98"/>
      <c r="DY220" s="98"/>
      <c r="DZ220" s="98"/>
      <c r="EA220" s="98"/>
      <c r="EB220" s="98"/>
      <c r="EC220" s="98"/>
      <c r="ED220" s="98"/>
      <c r="EE220" s="98"/>
      <c r="EF220" s="98"/>
      <c r="EG220" s="98"/>
      <c r="EH220" s="98"/>
      <c r="EI220" s="98"/>
      <c r="EJ220" s="98"/>
      <c r="EK220" s="98"/>
      <c r="EL220" s="98"/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98"/>
      <c r="EZ220" s="98"/>
      <c r="FA220" s="98"/>
      <c r="FB220" s="98"/>
      <c r="FC220" s="98"/>
      <c r="FD220" s="98"/>
      <c r="FE220" s="98"/>
      <c r="FF220" s="98"/>
      <c r="FG220" s="98"/>
      <c r="FH220" s="98"/>
      <c r="FI220" s="98"/>
      <c r="FJ220" s="98"/>
      <c r="FK220" s="98"/>
      <c r="FL220" s="98"/>
      <c r="FM220" s="98"/>
      <c r="FN220" s="98"/>
      <c r="FO220" s="98"/>
      <c r="FP220" s="98"/>
      <c r="FQ220" s="98"/>
      <c r="FR220" s="98"/>
      <c r="FS220" s="98"/>
      <c r="FT220" s="98"/>
      <c r="FU220" s="98"/>
    </row>
    <row r="221" spans="10:177" s="1" customFormat="1" ht="15.75"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  <c r="DT221" s="98"/>
      <c r="DU221" s="98"/>
      <c r="DV221" s="98"/>
      <c r="DW221" s="98"/>
      <c r="DX221" s="98"/>
      <c r="DY221" s="98"/>
      <c r="DZ221" s="98"/>
      <c r="EA221" s="98"/>
      <c r="EB221" s="98"/>
      <c r="EC221" s="98"/>
      <c r="ED221" s="98"/>
      <c r="EE221" s="98"/>
      <c r="EF221" s="98"/>
      <c r="EG221" s="98"/>
      <c r="EH221" s="98"/>
      <c r="EI221" s="98"/>
      <c r="EJ221" s="98"/>
      <c r="EK221" s="98"/>
      <c r="EL221" s="98"/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98"/>
      <c r="EZ221" s="98"/>
      <c r="FA221" s="98"/>
      <c r="FB221" s="98"/>
      <c r="FC221" s="98"/>
      <c r="FD221" s="98"/>
      <c r="FE221" s="98"/>
      <c r="FF221" s="98"/>
      <c r="FG221" s="98"/>
      <c r="FH221" s="98"/>
      <c r="FI221" s="98"/>
      <c r="FJ221" s="98"/>
      <c r="FK221" s="98"/>
      <c r="FL221" s="98"/>
      <c r="FM221" s="98"/>
      <c r="FN221" s="98"/>
      <c r="FO221" s="98"/>
      <c r="FP221" s="98"/>
      <c r="FQ221" s="98"/>
      <c r="FR221" s="98"/>
      <c r="FS221" s="98"/>
      <c r="FT221" s="98"/>
      <c r="FU221" s="98"/>
    </row>
    <row r="222" spans="10:177" s="1" customFormat="1" ht="15.75"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</row>
    <row r="223" spans="10:177" s="1" customFormat="1" ht="15.75"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98"/>
      <c r="ER223" s="98"/>
      <c r="ES223" s="98"/>
      <c r="ET223" s="98"/>
      <c r="EU223" s="98"/>
      <c r="EV223" s="98"/>
      <c r="EW223" s="98"/>
      <c r="EX223" s="98"/>
      <c r="EY223" s="98"/>
      <c r="EZ223" s="98"/>
      <c r="FA223" s="98"/>
      <c r="FB223" s="98"/>
      <c r="FC223" s="98"/>
      <c r="FD223" s="98"/>
      <c r="FE223" s="98"/>
      <c r="FF223" s="98"/>
      <c r="FG223" s="98"/>
      <c r="FH223" s="98"/>
      <c r="FI223" s="98"/>
      <c r="FJ223" s="98"/>
      <c r="FK223" s="98"/>
      <c r="FL223" s="98"/>
      <c r="FM223" s="98"/>
      <c r="FN223" s="98"/>
      <c r="FO223" s="98"/>
      <c r="FP223" s="98"/>
      <c r="FQ223" s="98"/>
      <c r="FR223" s="98"/>
      <c r="FS223" s="98"/>
      <c r="FT223" s="98"/>
      <c r="FU223" s="98"/>
    </row>
    <row r="224" spans="10:177" s="1" customFormat="1" ht="15.75"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98"/>
      <c r="EZ224" s="98"/>
      <c r="FA224" s="98"/>
      <c r="FB224" s="98"/>
      <c r="FC224" s="98"/>
      <c r="FD224" s="98"/>
      <c r="FE224" s="98"/>
      <c r="FF224" s="98"/>
      <c r="FG224" s="98"/>
      <c r="FH224" s="98"/>
      <c r="FI224" s="98"/>
      <c r="FJ224" s="98"/>
      <c r="FK224" s="98"/>
      <c r="FL224" s="98"/>
      <c r="FM224" s="98"/>
      <c r="FN224" s="98"/>
      <c r="FO224" s="98"/>
      <c r="FP224" s="98"/>
      <c r="FQ224" s="98"/>
      <c r="FR224" s="98"/>
      <c r="FS224" s="98"/>
      <c r="FT224" s="98"/>
      <c r="FU224" s="98"/>
    </row>
    <row r="225" spans="10:177" s="1" customFormat="1" ht="15.75"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  <c r="FH225" s="98"/>
      <c r="FI225" s="98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</row>
    <row r="226" spans="10:177" s="1" customFormat="1" ht="15.75"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</row>
    <row r="227" spans="10:177" s="1" customFormat="1" ht="15.75"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98"/>
      <c r="EZ227" s="98"/>
      <c r="FA227" s="98"/>
      <c r="FB227" s="98"/>
      <c r="FC227" s="98"/>
      <c r="FD227" s="98"/>
      <c r="FE227" s="98"/>
      <c r="FF227" s="98"/>
      <c r="FG227" s="98"/>
      <c r="FH227" s="98"/>
      <c r="FI227" s="98"/>
      <c r="FJ227" s="98"/>
      <c r="FK227" s="98"/>
      <c r="FL227" s="98"/>
      <c r="FM227" s="98"/>
      <c r="FN227" s="98"/>
      <c r="FO227" s="98"/>
      <c r="FP227" s="98"/>
      <c r="FQ227" s="98"/>
      <c r="FR227" s="98"/>
      <c r="FS227" s="98"/>
      <c r="FT227" s="98"/>
      <c r="FU227" s="98"/>
    </row>
    <row r="228" spans="10:177" s="1" customFormat="1" ht="15.75"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  <c r="EI228" s="98"/>
      <c r="EJ228" s="98"/>
      <c r="EK228" s="98"/>
      <c r="EL228" s="98"/>
      <c r="EM228" s="98"/>
      <c r="EN228" s="98"/>
      <c r="EO228" s="98"/>
      <c r="EP228" s="98"/>
      <c r="EQ228" s="98"/>
      <c r="ER228" s="98"/>
      <c r="ES228" s="98"/>
      <c r="ET228" s="98"/>
      <c r="EU228" s="98"/>
      <c r="EV228" s="98"/>
      <c r="EW228" s="98"/>
      <c r="EX228" s="98"/>
      <c r="EY228" s="98"/>
      <c r="EZ228" s="98"/>
      <c r="FA228" s="98"/>
      <c r="FB228" s="98"/>
      <c r="FC228" s="98"/>
      <c r="FD228" s="98"/>
      <c r="FE228" s="98"/>
      <c r="FF228" s="98"/>
      <c r="FG228" s="98"/>
      <c r="FH228" s="98"/>
      <c r="FI228" s="98"/>
      <c r="FJ228" s="98"/>
      <c r="FK228" s="98"/>
      <c r="FL228" s="98"/>
      <c r="FM228" s="98"/>
      <c r="FN228" s="98"/>
      <c r="FO228" s="98"/>
      <c r="FP228" s="98"/>
      <c r="FQ228" s="98"/>
      <c r="FR228" s="98"/>
      <c r="FS228" s="98"/>
      <c r="FT228" s="98"/>
      <c r="FU228" s="98"/>
    </row>
    <row r="229" spans="10:177" s="1" customFormat="1" ht="15.75"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</row>
    <row r="230" spans="10:177" s="1" customFormat="1" ht="15.75"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  <c r="DQ230" s="98"/>
      <c r="DR230" s="98"/>
      <c r="DS230" s="98"/>
      <c r="DT230" s="98"/>
      <c r="DU230" s="98"/>
      <c r="DV230" s="98"/>
      <c r="DW230" s="98"/>
      <c r="DX230" s="98"/>
      <c r="DY230" s="98"/>
      <c r="DZ230" s="98"/>
      <c r="EA230" s="98"/>
      <c r="EB230" s="98"/>
      <c r="EC230" s="98"/>
      <c r="ED230" s="98"/>
      <c r="EE230" s="98"/>
      <c r="EF230" s="98"/>
      <c r="EG230" s="98"/>
      <c r="EH230" s="98"/>
      <c r="EI230" s="98"/>
      <c r="EJ230" s="98"/>
      <c r="EK230" s="98"/>
      <c r="EL230" s="98"/>
      <c r="EM230" s="98"/>
      <c r="EN230" s="98"/>
      <c r="EO230" s="98"/>
      <c r="EP230" s="98"/>
      <c r="EQ230" s="98"/>
      <c r="ER230" s="98"/>
      <c r="ES230" s="98"/>
      <c r="ET230" s="98"/>
      <c r="EU230" s="98"/>
      <c r="EV230" s="98"/>
      <c r="EW230" s="98"/>
      <c r="EX230" s="98"/>
      <c r="EY230" s="98"/>
      <c r="EZ230" s="98"/>
      <c r="FA230" s="98"/>
      <c r="FB230" s="98"/>
      <c r="FC230" s="98"/>
      <c r="FD230" s="98"/>
      <c r="FE230" s="98"/>
      <c r="FF230" s="98"/>
      <c r="FG230" s="98"/>
      <c r="FH230" s="98"/>
      <c r="FI230" s="98"/>
      <c r="FJ230" s="98"/>
      <c r="FK230" s="98"/>
      <c r="FL230" s="98"/>
      <c r="FM230" s="98"/>
      <c r="FN230" s="98"/>
      <c r="FO230" s="98"/>
      <c r="FP230" s="98"/>
      <c r="FQ230" s="98"/>
      <c r="FR230" s="98"/>
      <c r="FS230" s="98"/>
      <c r="FT230" s="98"/>
      <c r="FU230" s="98"/>
    </row>
    <row r="231" spans="10:177" s="1" customFormat="1" ht="15.75"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  <c r="DQ231" s="98"/>
      <c r="DR231" s="98"/>
      <c r="DS231" s="98"/>
      <c r="DT231" s="98"/>
      <c r="DU231" s="98"/>
      <c r="DV231" s="98"/>
      <c r="DW231" s="98"/>
      <c r="DX231" s="98"/>
      <c r="DY231" s="98"/>
      <c r="DZ231" s="98"/>
      <c r="EA231" s="98"/>
      <c r="EB231" s="98"/>
      <c r="EC231" s="98"/>
      <c r="ED231" s="98"/>
      <c r="EE231" s="98"/>
      <c r="EF231" s="98"/>
      <c r="EG231" s="98"/>
      <c r="EH231" s="98"/>
      <c r="EI231" s="98"/>
      <c r="EJ231" s="98"/>
      <c r="EK231" s="98"/>
      <c r="EL231" s="98"/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98"/>
      <c r="EZ231" s="98"/>
      <c r="FA231" s="98"/>
      <c r="FB231" s="98"/>
      <c r="FC231" s="98"/>
      <c r="FD231" s="98"/>
      <c r="FE231" s="98"/>
      <c r="FF231" s="98"/>
      <c r="FG231" s="98"/>
      <c r="FH231" s="98"/>
      <c r="FI231" s="98"/>
      <c r="FJ231" s="98"/>
      <c r="FK231" s="98"/>
      <c r="FL231" s="98"/>
      <c r="FM231" s="98"/>
      <c r="FN231" s="98"/>
      <c r="FO231" s="98"/>
      <c r="FP231" s="98"/>
      <c r="FQ231" s="98"/>
      <c r="FR231" s="98"/>
      <c r="FS231" s="98"/>
      <c r="FT231" s="98"/>
      <c r="FU231" s="98"/>
    </row>
    <row r="232" spans="10:177" s="1" customFormat="1" ht="15.75"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  <c r="DT232" s="98"/>
      <c r="DU232" s="98"/>
      <c r="DV232" s="98"/>
      <c r="DW232" s="98"/>
      <c r="DX232" s="98"/>
      <c r="DY232" s="98"/>
      <c r="DZ232" s="98"/>
      <c r="EA232" s="98"/>
      <c r="EB232" s="98"/>
      <c r="EC232" s="98"/>
      <c r="ED232" s="98"/>
      <c r="EE232" s="98"/>
      <c r="EF232" s="98"/>
      <c r="EG232" s="98"/>
      <c r="EH232" s="98"/>
      <c r="EI232" s="98"/>
      <c r="EJ232" s="98"/>
      <c r="EK232" s="98"/>
      <c r="EL232" s="98"/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98"/>
      <c r="EZ232" s="98"/>
      <c r="FA232" s="98"/>
      <c r="FB232" s="98"/>
      <c r="FC232" s="98"/>
      <c r="FD232" s="98"/>
      <c r="FE232" s="98"/>
      <c r="FF232" s="98"/>
      <c r="FG232" s="98"/>
      <c r="FH232" s="98"/>
      <c r="FI232" s="98"/>
      <c r="FJ232" s="98"/>
      <c r="FK232" s="98"/>
      <c r="FL232" s="98"/>
      <c r="FM232" s="98"/>
      <c r="FN232" s="98"/>
      <c r="FO232" s="98"/>
      <c r="FP232" s="98"/>
      <c r="FQ232" s="98"/>
      <c r="FR232" s="98"/>
      <c r="FS232" s="98"/>
      <c r="FT232" s="98"/>
      <c r="FU232" s="98"/>
    </row>
    <row r="233" spans="10:177" s="1" customFormat="1" ht="15.75"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98"/>
      <c r="DL233" s="98"/>
      <c r="DM233" s="98"/>
      <c r="DN233" s="98"/>
      <c r="DO233" s="98"/>
      <c r="DP233" s="98"/>
      <c r="DQ233" s="98"/>
      <c r="DR233" s="98"/>
      <c r="DS233" s="98"/>
      <c r="DT233" s="98"/>
      <c r="DU233" s="98"/>
      <c r="DV233" s="98"/>
      <c r="DW233" s="98"/>
      <c r="DX233" s="98"/>
      <c r="DY233" s="98"/>
      <c r="DZ233" s="98"/>
      <c r="EA233" s="98"/>
      <c r="EB233" s="98"/>
      <c r="EC233" s="98"/>
      <c r="ED233" s="98"/>
      <c r="EE233" s="98"/>
      <c r="EF233" s="98"/>
      <c r="EG233" s="98"/>
      <c r="EH233" s="98"/>
      <c r="EI233" s="98"/>
      <c r="EJ233" s="98"/>
      <c r="EK233" s="98"/>
      <c r="EL233" s="98"/>
      <c r="EM233" s="98"/>
      <c r="EN233" s="98"/>
      <c r="EO233" s="98"/>
      <c r="EP233" s="98"/>
      <c r="EQ233" s="98"/>
      <c r="ER233" s="98"/>
      <c r="ES233" s="98"/>
      <c r="ET233" s="98"/>
      <c r="EU233" s="98"/>
      <c r="EV233" s="98"/>
      <c r="EW233" s="98"/>
      <c r="EX233" s="98"/>
      <c r="EY233" s="98"/>
      <c r="EZ233" s="98"/>
      <c r="FA233" s="98"/>
      <c r="FB233" s="98"/>
      <c r="FC233" s="98"/>
      <c r="FD233" s="98"/>
      <c r="FE233" s="98"/>
      <c r="FF233" s="98"/>
      <c r="FG233" s="98"/>
      <c r="FH233" s="98"/>
      <c r="FI233" s="98"/>
      <c r="FJ233" s="98"/>
      <c r="FK233" s="98"/>
      <c r="FL233" s="98"/>
      <c r="FM233" s="98"/>
      <c r="FN233" s="98"/>
      <c r="FO233" s="98"/>
      <c r="FP233" s="98"/>
      <c r="FQ233" s="98"/>
      <c r="FR233" s="98"/>
      <c r="FS233" s="98"/>
      <c r="FT233" s="98"/>
      <c r="FU233" s="98"/>
    </row>
    <row r="234" spans="10:177" s="1" customFormat="1" ht="15.75"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  <c r="DQ234" s="98"/>
      <c r="DR234" s="98"/>
      <c r="DS234" s="98"/>
      <c r="DT234" s="98"/>
      <c r="DU234" s="98"/>
      <c r="DV234" s="98"/>
      <c r="DW234" s="98"/>
      <c r="DX234" s="98"/>
      <c r="DY234" s="98"/>
      <c r="DZ234" s="98"/>
      <c r="EA234" s="98"/>
      <c r="EB234" s="98"/>
      <c r="EC234" s="98"/>
      <c r="ED234" s="98"/>
      <c r="EE234" s="98"/>
      <c r="EF234" s="98"/>
      <c r="EG234" s="98"/>
      <c r="EH234" s="98"/>
      <c r="EI234" s="98"/>
      <c r="EJ234" s="98"/>
      <c r="EK234" s="98"/>
      <c r="EL234" s="98"/>
      <c r="EM234" s="98"/>
      <c r="EN234" s="98"/>
      <c r="EO234" s="98"/>
      <c r="EP234" s="98"/>
      <c r="EQ234" s="98"/>
      <c r="ER234" s="98"/>
      <c r="ES234" s="98"/>
      <c r="ET234" s="98"/>
      <c r="EU234" s="98"/>
      <c r="EV234" s="98"/>
      <c r="EW234" s="98"/>
      <c r="EX234" s="98"/>
      <c r="EY234" s="98"/>
      <c r="EZ234" s="98"/>
      <c r="FA234" s="98"/>
      <c r="FB234" s="98"/>
      <c r="FC234" s="98"/>
      <c r="FD234" s="98"/>
      <c r="FE234" s="98"/>
      <c r="FF234" s="98"/>
      <c r="FG234" s="98"/>
      <c r="FH234" s="98"/>
      <c r="FI234" s="98"/>
      <c r="FJ234" s="98"/>
      <c r="FK234" s="98"/>
      <c r="FL234" s="98"/>
      <c r="FM234" s="98"/>
      <c r="FN234" s="98"/>
      <c r="FO234" s="98"/>
      <c r="FP234" s="98"/>
      <c r="FQ234" s="98"/>
      <c r="FR234" s="98"/>
      <c r="FS234" s="98"/>
      <c r="FT234" s="98"/>
      <c r="FU234" s="98"/>
    </row>
    <row r="235" spans="10:177" s="1" customFormat="1" ht="15.75"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  <c r="DT235" s="98"/>
      <c r="DU235" s="98"/>
      <c r="DV235" s="98"/>
      <c r="DW235" s="98"/>
      <c r="DX235" s="98"/>
      <c r="DY235" s="98"/>
      <c r="DZ235" s="98"/>
      <c r="EA235" s="98"/>
      <c r="EB235" s="98"/>
      <c r="EC235" s="98"/>
      <c r="ED235" s="98"/>
      <c r="EE235" s="98"/>
      <c r="EF235" s="98"/>
      <c r="EG235" s="98"/>
      <c r="EH235" s="98"/>
      <c r="EI235" s="98"/>
      <c r="EJ235" s="98"/>
      <c r="EK235" s="98"/>
      <c r="EL235" s="98"/>
      <c r="EM235" s="98"/>
      <c r="EN235" s="98"/>
      <c r="EO235" s="98"/>
      <c r="EP235" s="98"/>
      <c r="EQ235" s="98"/>
      <c r="ER235" s="98"/>
      <c r="ES235" s="98"/>
      <c r="ET235" s="98"/>
      <c r="EU235" s="98"/>
      <c r="EV235" s="98"/>
      <c r="EW235" s="98"/>
      <c r="EX235" s="98"/>
      <c r="EY235" s="98"/>
      <c r="EZ235" s="98"/>
      <c r="FA235" s="98"/>
      <c r="FB235" s="98"/>
      <c r="FC235" s="98"/>
      <c r="FD235" s="98"/>
      <c r="FE235" s="98"/>
      <c r="FF235" s="98"/>
      <c r="FG235" s="98"/>
      <c r="FH235" s="98"/>
      <c r="FI235" s="98"/>
      <c r="FJ235" s="98"/>
      <c r="FK235" s="98"/>
      <c r="FL235" s="98"/>
      <c r="FM235" s="98"/>
      <c r="FN235" s="98"/>
      <c r="FO235" s="98"/>
      <c r="FP235" s="98"/>
      <c r="FQ235" s="98"/>
      <c r="FR235" s="98"/>
      <c r="FS235" s="98"/>
      <c r="FT235" s="98"/>
      <c r="FU235" s="98"/>
    </row>
    <row r="236" spans="10:177" s="1" customFormat="1" ht="15.75"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  <c r="DT236" s="98"/>
      <c r="DU236" s="98"/>
      <c r="DV236" s="98"/>
      <c r="DW236" s="98"/>
      <c r="DX236" s="98"/>
      <c r="DY236" s="98"/>
      <c r="DZ236" s="98"/>
      <c r="EA236" s="98"/>
      <c r="EB236" s="98"/>
      <c r="EC236" s="98"/>
      <c r="ED236" s="98"/>
      <c r="EE236" s="98"/>
      <c r="EF236" s="98"/>
      <c r="EG236" s="98"/>
      <c r="EH236" s="98"/>
      <c r="EI236" s="98"/>
      <c r="EJ236" s="98"/>
      <c r="EK236" s="98"/>
      <c r="EL236" s="98"/>
      <c r="EM236" s="98"/>
      <c r="EN236" s="98"/>
      <c r="EO236" s="98"/>
      <c r="EP236" s="98"/>
      <c r="EQ236" s="98"/>
      <c r="ER236" s="98"/>
      <c r="ES236" s="98"/>
      <c r="ET236" s="98"/>
      <c r="EU236" s="98"/>
      <c r="EV236" s="98"/>
      <c r="EW236" s="98"/>
      <c r="EX236" s="98"/>
      <c r="EY236" s="98"/>
      <c r="EZ236" s="98"/>
      <c r="FA236" s="98"/>
      <c r="FB236" s="98"/>
      <c r="FC236" s="98"/>
      <c r="FD236" s="98"/>
      <c r="FE236" s="98"/>
      <c r="FF236" s="98"/>
      <c r="FG236" s="98"/>
      <c r="FH236" s="98"/>
      <c r="FI236" s="98"/>
      <c r="FJ236" s="98"/>
      <c r="FK236" s="98"/>
      <c r="FL236" s="98"/>
      <c r="FM236" s="98"/>
      <c r="FN236" s="98"/>
      <c r="FO236" s="98"/>
      <c r="FP236" s="98"/>
      <c r="FQ236" s="98"/>
      <c r="FR236" s="98"/>
      <c r="FS236" s="98"/>
      <c r="FT236" s="98"/>
      <c r="FU236" s="98"/>
    </row>
    <row r="237" spans="10:177" s="1" customFormat="1" ht="15.75"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  <c r="DQ237" s="98"/>
      <c r="DR237" s="98"/>
      <c r="DS237" s="98"/>
      <c r="DT237" s="98"/>
      <c r="DU237" s="98"/>
      <c r="DV237" s="98"/>
      <c r="DW237" s="98"/>
      <c r="DX237" s="98"/>
      <c r="DY237" s="98"/>
      <c r="DZ237" s="98"/>
      <c r="EA237" s="98"/>
      <c r="EB237" s="98"/>
      <c r="EC237" s="98"/>
      <c r="ED237" s="98"/>
      <c r="EE237" s="98"/>
      <c r="EF237" s="98"/>
      <c r="EG237" s="98"/>
      <c r="EH237" s="98"/>
      <c r="EI237" s="98"/>
      <c r="EJ237" s="98"/>
      <c r="EK237" s="98"/>
      <c r="EL237" s="98"/>
      <c r="EM237" s="98"/>
      <c r="EN237" s="98"/>
      <c r="EO237" s="98"/>
      <c r="EP237" s="98"/>
      <c r="EQ237" s="98"/>
      <c r="ER237" s="98"/>
      <c r="ES237" s="98"/>
      <c r="ET237" s="98"/>
      <c r="EU237" s="98"/>
      <c r="EV237" s="98"/>
      <c r="EW237" s="98"/>
      <c r="EX237" s="98"/>
      <c r="EY237" s="98"/>
      <c r="EZ237" s="98"/>
      <c r="FA237" s="98"/>
      <c r="FB237" s="98"/>
      <c r="FC237" s="98"/>
      <c r="FD237" s="98"/>
      <c r="FE237" s="98"/>
      <c r="FF237" s="98"/>
      <c r="FG237" s="98"/>
      <c r="FH237" s="98"/>
      <c r="FI237" s="98"/>
      <c r="FJ237" s="98"/>
      <c r="FK237" s="98"/>
      <c r="FL237" s="98"/>
      <c r="FM237" s="98"/>
      <c r="FN237" s="98"/>
      <c r="FO237" s="98"/>
      <c r="FP237" s="98"/>
      <c r="FQ237" s="98"/>
      <c r="FR237" s="98"/>
      <c r="FS237" s="98"/>
      <c r="FT237" s="98"/>
      <c r="FU237" s="98"/>
    </row>
    <row r="238" spans="10:177" s="1" customFormat="1" ht="15.75"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  <c r="DQ238" s="98"/>
      <c r="DR238" s="98"/>
      <c r="DS238" s="98"/>
      <c r="DT238" s="98"/>
      <c r="DU238" s="98"/>
      <c r="DV238" s="98"/>
      <c r="DW238" s="98"/>
      <c r="DX238" s="98"/>
      <c r="DY238" s="98"/>
      <c r="DZ238" s="98"/>
      <c r="EA238" s="98"/>
      <c r="EB238" s="98"/>
      <c r="EC238" s="98"/>
      <c r="ED238" s="98"/>
      <c r="EE238" s="98"/>
      <c r="EF238" s="98"/>
      <c r="EG238" s="98"/>
      <c r="EH238" s="98"/>
      <c r="EI238" s="98"/>
      <c r="EJ238" s="98"/>
      <c r="EK238" s="98"/>
      <c r="EL238" s="98"/>
      <c r="EM238" s="98"/>
      <c r="EN238" s="98"/>
      <c r="EO238" s="98"/>
      <c r="EP238" s="98"/>
      <c r="EQ238" s="98"/>
      <c r="ER238" s="98"/>
      <c r="ES238" s="98"/>
      <c r="ET238" s="98"/>
      <c r="EU238" s="98"/>
      <c r="EV238" s="98"/>
      <c r="EW238" s="98"/>
      <c r="EX238" s="98"/>
      <c r="EY238" s="98"/>
      <c r="EZ238" s="98"/>
      <c r="FA238" s="98"/>
      <c r="FB238" s="98"/>
      <c r="FC238" s="98"/>
      <c r="FD238" s="98"/>
      <c r="FE238" s="98"/>
      <c r="FF238" s="98"/>
      <c r="FG238" s="98"/>
      <c r="FH238" s="98"/>
      <c r="FI238" s="98"/>
      <c r="FJ238" s="98"/>
      <c r="FK238" s="98"/>
      <c r="FL238" s="98"/>
      <c r="FM238" s="98"/>
      <c r="FN238" s="98"/>
      <c r="FO238" s="98"/>
      <c r="FP238" s="98"/>
      <c r="FQ238" s="98"/>
      <c r="FR238" s="98"/>
      <c r="FS238" s="98"/>
      <c r="FT238" s="98"/>
      <c r="FU238" s="98"/>
    </row>
    <row r="239" spans="10:177" s="1" customFormat="1" ht="15.75"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98"/>
      <c r="ER239" s="98"/>
      <c r="ES239" s="98"/>
      <c r="ET239" s="98"/>
      <c r="EU239" s="98"/>
      <c r="EV239" s="98"/>
      <c r="EW239" s="98"/>
      <c r="EX239" s="98"/>
      <c r="EY239" s="98"/>
      <c r="EZ239" s="98"/>
      <c r="FA239" s="98"/>
      <c r="FB239" s="98"/>
      <c r="FC239" s="98"/>
      <c r="FD239" s="98"/>
      <c r="FE239" s="98"/>
      <c r="FF239" s="98"/>
      <c r="FG239" s="98"/>
      <c r="FH239" s="98"/>
      <c r="FI239" s="98"/>
      <c r="FJ239" s="98"/>
      <c r="FK239" s="98"/>
      <c r="FL239" s="98"/>
      <c r="FM239" s="98"/>
      <c r="FN239" s="98"/>
      <c r="FO239" s="98"/>
      <c r="FP239" s="98"/>
      <c r="FQ239" s="98"/>
      <c r="FR239" s="98"/>
      <c r="FS239" s="98"/>
      <c r="FT239" s="98"/>
      <c r="FU239" s="98"/>
    </row>
    <row r="240" spans="10:177" s="1" customFormat="1" ht="15.75"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8"/>
      <c r="FK240" s="98"/>
      <c r="FL240" s="98"/>
      <c r="FM240" s="98"/>
      <c r="FN240" s="98"/>
      <c r="FO240" s="98"/>
      <c r="FP240" s="98"/>
      <c r="FQ240" s="98"/>
      <c r="FR240" s="98"/>
      <c r="FS240" s="98"/>
      <c r="FT240" s="98"/>
      <c r="FU240" s="98"/>
    </row>
    <row r="241" spans="10:177" s="1" customFormat="1" ht="15.75"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8"/>
      <c r="FK241" s="98"/>
      <c r="FL241" s="98"/>
      <c r="FM241" s="98"/>
      <c r="FN241" s="98"/>
      <c r="FO241" s="98"/>
      <c r="FP241" s="98"/>
      <c r="FQ241" s="98"/>
      <c r="FR241" s="98"/>
      <c r="FS241" s="98"/>
      <c r="FT241" s="98"/>
      <c r="FU241" s="98"/>
    </row>
    <row r="242" spans="10:177" s="1" customFormat="1" ht="15.75"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98"/>
      <c r="ER242" s="98"/>
      <c r="ES242" s="98"/>
      <c r="ET242" s="98"/>
      <c r="EU242" s="98"/>
      <c r="EV242" s="98"/>
      <c r="EW242" s="98"/>
      <c r="EX242" s="98"/>
      <c r="EY242" s="98"/>
      <c r="EZ242" s="98"/>
      <c r="FA242" s="98"/>
      <c r="FB242" s="98"/>
      <c r="FC242" s="98"/>
      <c r="FD242" s="98"/>
      <c r="FE242" s="98"/>
      <c r="FF242" s="98"/>
      <c r="FG242" s="98"/>
      <c r="FH242" s="98"/>
      <c r="FI242" s="98"/>
      <c r="FJ242" s="98"/>
      <c r="FK242" s="98"/>
      <c r="FL242" s="98"/>
      <c r="FM242" s="98"/>
      <c r="FN242" s="98"/>
      <c r="FO242" s="98"/>
      <c r="FP242" s="98"/>
      <c r="FQ242" s="98"/>
      <c r="FR242" s="98"/>
      <c r="FS242" s="98"/>
      <c r="FT242" s="98"/>
      <c r="FU242" s="98"/>
    </row>
    <row r="243" spans="10:177" s="1" customFormat="1" ht="15.75"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  <c r="DT243" s="98"/>
      <c r="DU243" s="98"/>
      <c r="DV243" s="98"/>
      <c r="DW243" s="98"/>
      <c r="DX243" s="98"/>
      <c r="DY243" s="98"/>
      <c r="DZ243" s="98"/>
      <c r="EA243" s="98"/>
      <c r="EB243" s="98"/>
      <c r="EC243" s="98"/>
      <c r="ED243" s="98"/>
      <c r="EE243" s="98"/>
      <c r="EF243" s="98"/>
      <c r="EG243" s="98"/>
      <c r="EH243" s="98"/>
      <c r="EI243" s="98"/>
      <c r="EJ243" s="98"/>
      <c r="EK243" s="98"/>
      <c r="EL243" s="98"/>
      <c r="EM243" s="98"/>
      <c r="EN243" s="98"/>
      <c r="EO243" s="98"/>
      <c r="EP243" s="98"/>
      <c r="EQ243" s="98"/>
      <c r="ER243" s="98"/>
      <c r="ES243" s="98"/>
      <c r="ET243" s="98"/>
      <c r="EU243" s="98"/>
      <c r="EV243" s="98"/>
      <c r="EW243" s="98"/>
      <c r="EX243" s="98"/>
      <c r="EY243" s="98"/>
      <c r="EZ243" s="98"/>
      <c r="FA243" s="98"/>
      <c r="FB243" s="98"/>
      <c r="FC243" s="98"/>
      <c r="FD243" s="98"/>
      <c r="FE243" s="98"/>
      <c r="FF243" s="98"/>
      <c r="FG243" s="98"/>
      <c r="FH243" s="98"/>
      <c r="FI243" s="98"/>
      <c r="FJ243" s="98"/>
      <c r="FK243" s="98"/>
      <c r="FL243" s="98"/>
      <c r="FM243" s="98"/>
      <c r="FN243" s="98"/>
      <c r="FO243" s="98"/>
      <c r="FP243" s="98"/>
      <c r="FQ243" s="98"/>
      <c r="FR243" s="98"/>
      <c r="FS243" s="98"/>
      <c r="FT243" s="98"/>
      <c r="FU243" s="98"/>
    </row>
    <row r="244" spans="10:177" s="1" customFormat="1" ht="15.75"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  <c r="DG244" s="98"/>
      <c r="DH244" s="98"/>
      <c r="DI244" s="98"/>
      <c r="DJ244" s="98"/>
      <c r="DK244" s="98"/>
      <c r="DL244" s="98"/>
      <c r="DM244" s="98"/>
      <c r="DN244" s="98"/>
      <c r="DO244" s="98"/>
      <c r="DP244" s="98"/>
      <c r="DQ244" s="98"/>
      <c r="DR244" s="98"/>
      <c r="DS244" s="98"/>
      <c r="DT244" s="98"/>
      <c r="DU244" s="98"/>
      <c r="DV244" s="98"/>
      <c r="DW244" s="98"/>
      <c r="DX244" s="98"/>
      <c r="DY244" s="98"/>
      <c r="DZ244" s="98"/>
      <c r="EA244" s="98"/>
      <c r="EB244" s="98"/>
      <c r="EC244" s="98"/>
      <c r="ED244" s="98"/>
      <c r="EE244" s="98"/>
      <c r="EF244" s="98"/>
      <c r="EG244" s="98"/>
      <c r="EH244" s="98"/>
      <c r="EI244" s="98"/>
      <c r="EJ244" s="98"/>
      <c r="EK244" s="98"/>
      <c r="EL244" s="98"/>
      <c r="EM244" s="98"/>
      <c r="EN244" s="98"/>
      <c r="EO244" s="98"/>
      <c r="EP244" s="98"/>
      <c r="EQ244" s="98"/>
      <c r="ER244" s="98"/>
      <c r="ES244" s="98"/>
      <c r="ET244" s="98"/>
      <c r="EU244" s="98"/>
      <c r="EV244" s="98"/>
      <c r="EW244" s="98"/>
      <c r="EX244" s="98"/>
      <c r="EY244" s="98"/>
      <c r="EZ244" s="98"/>
      <c r="FA244" s="98"/>
      <c r="FB244" s="98"/>
      <c r="FC244" s="98"/>
      <c r="FD244" s="98"/>
      <c r="FE244" s="98"/>
      <c r="FF244" s="98"/>
      <c r="FG244" s="98"/>
      <c r="FH244" s="98"/>
      <c r="FI244" s="98"/>
      <c r="FJ244" s="98"/>
      <c r="FK244" s="98"/>
      <c r="FL244" s="98"/>
      <c r="FM244" s="98"/>
      <c r="FN244" s="98"/>
      <c r="FO244" s="98"/>
      <c r="FP244" s="98"/>
      <c r="FQ244" s="98"/>
      <c r="FR244" s="98"/>
      <c r="FS244" s="98"/>
      <c r="FT244" s="98"/>
      <c r="FU244" s="98"/>
    </row>
    <row r="245" spans="10:177" s="1" customFormat="1" ht="15.75"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  <c r="DQ245" s="98"/>
      <c r="DR245" s="98"/>
      <c r="DS245" s="98"/>
      <c r="DT245" s="98"/>
      <c r="DU245" s="98"/>
      <c r="DV245" s="98"/>
      <c r="DW245" s="98"/>
      <c r="DX245" s="98"/>
      <c r="DY245" s="98"/>
      <c r="DZ245" s="98"/>
      <c r="EA245" s="98"/>
      <c r="EB245" s="98"/>
      <c r="EC245" s="98"/>
      <c r="ED245" s="98"/>
      <c r="EE245" s="98"/>
      <c r="EF245" s="98"/>
      <c r="EG245" s="98"/>
      <c r="EH245" s="98"/>
      <c r="EI245" s="98"/>
      <c r="EJ245" s="98"/>
      <c r="EK245" s="98"/>
      <c r="EL245" s="98"/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98"/>
      <c r="EZ245" s="98"/>
      <c r="FA245" s="98"/>
      <c r="FB245" s="98"/>
      <c r="FC245" s="98"/>
      <c r="FD245" s="98"/>
      <c r="FE245" s="98"/>
      <c r="FF245" s="98"/>
      <c r="FG245" s="98"/>
      <c r="FH245" s="98"/>
      <c r="FI245" s="98"/>
      <c r="FJ245" s="98"/>
      <c r="FK245" s="98"/>
      <c r="FL245" s="98"/>
      <c r="FM245" s="98"/>
      <c r="FN245" s="98"/>
      <c r="FO245" s="98"/>
      <c r="FP245" s="98"/>
      <c r="FQ245" s="98"/>
      <c r="FR245" s="98"/>
      <c r="FS245" s="98"/>
      <c r="FT245" s="98"/>
      <c r="FU245" s="98"/>
    </row>
    <row r="246" spans="10:177" s="1" customFormat="1" ht="15.75"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  <c r="DT246" s="98"/>
      <c r="DU246" s="98"/>
      <c r="DV246" s="98"/>
      <c r="DW246" s="98"/>
      <c r="DX246" s="98"/>
      <c r="DY246" s="98"/>
      <c r="DZ246" s="98"/>
      <c r="EA246" s="98"/>
      <c r="EB246" s="98"/>
      <c r="EC246" s="98"/>
      <c r="ED246" s="98"/>
      <c r="EE246" s="98"/>
      <c r="EF246" s="98"/>
      <c r="EG246" s="98"/>
      <c r="EH246" s="98"/>
      <c r="EI246" s="98"/>
      <c r="EJ246" s="98"/>
      <c r="EK246" s="98"/>
      <c r="EL246" s="98"/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98"/>
      <c r="EZ246" s="98"/>
      <c r="FA246" s="98"/>
      <c r="FB246" s="98"/>
      <c r="FC246" s="98"/>
      <c r="FD246" s="98"/>
      <c r="FE246" s="98"/>
      <c r="FF246" s="98"/>
      <c r="FG246" s="98"/>
      <c r="FH246" s="98"/>
      <c r="FI246" s="98"/>
      <c r="FJ246" s="98"/>
      <c r="FK246" s="98"/>
      <c r="FL246" s="98"/>
      <c r="FM246" s="98"/>
      <c r="FN246" s="98"/>
      <c r="FO246" s="98"/>
      <c r="FP246" s="98"/>
      <c r="FQ246" s="98"/>
      <c r="FR246" s="98"/>
      <c r="FS246" s="98"/>
      <c r="FT246" s="98"/>
      <c r="FU246" s="98"/>
    </row>
    <row r="247" spans="10:177" s="1" customFormat="1" ht="15.75"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</row>
    <row r="248" spans="10:177" s="1" customFormat="1" ht="15.75"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</row>
    <row r="249" spans="10:177" s="1" customFormat="1" ht="15.75"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</row>
    <row r="250" spans="10:177" s="1" customFormat="1" ht="15.75"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</row>
    <row r="251" spans="10:177" s="1" customFormat="1" ht="15.75"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</row>
    <row r="252" spans="10:177" s="1" customFormat="1" ht="15.75"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</row>
    <row r="253" spans="10:177" s="1" customFormat="1" ht="15.75"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</row>
    <row r="254" spans="10:177" s="1" customFormat="1" ht="15.75"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</row>
    <row r="255" spans="10:177" s="1" customFormat="1" ht="15.75"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</row>
    <row r="256" spans="10:177" s="1" customFormat="1" ht="15.75"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</row>
    <row r="257" spans="10:177" s="1" customFormat="1" ht="15.75"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</row>
    <row r="258" spans="10:177" s="1" customFormat="1" ht="15.75"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</row>
    <row r="259" spans="10:177" s="1" customFormat="1" ht="15.75"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  <c r="DG259" s="98"/>
      <c r="DH259" s="98"/>
      <c r="DI259" s="98"/>
      <c r="DJ259" s="98"/>
      <c r="DK259" s="98"/>
      <c r="DL259" s="98"/>
      <c r="DM259" s="98"/>
      <c r="DN259" s="98"/>
      <c r="DO259" s="98"/>
      <c r="DP259" s="98"/>
      <c r="DQ259" s="98"/>
      <c r="DR259" s="98"/>
      <c r="DS259" s="98"/>
      <c r="DT259" s="98"/>
      <c r="DU259" s="98"/>
      <c r="DV259" s="98"/>
      <c r="DW259" s="98"/>
      <c r="DX259" s="98"/>
      <c r="DY259" s="98"/>
      <c r="DZ259" s="98"/>
      <c r="EA259" s="98"/>
      <c r="EB259" s="98"/>
      <c r="EC259" s="98"/>
      <c r="ED259" s="98"/>
      <c r="EE259" s="98"/>
      <c r="EF259" s="98"/>
      <c r="EG259" s="98"/>
      <c r="EH259" s="98"/>
      <c r="EI259" s="98"/>
      <c r="EJ259" s="98"/>
      <c r="EK259" s="98"/>
      <c r="EL259" s="98"/>
      <c r="EM259" s="98"/>
      <c r="EN259" s="98"/>
      <c r="EO259" s="98"/>
      <c r="EP259" s="98"/>
      <c r="EQ259" s="98"/>
      <c r="ER259" s="98"/>
      <c r="ES259" s="98"/>
      <c r="ET259" s="98"/>
      <c r="EU259" s="98"/>
      <c r="EV259" s="98"/>
      <c r="EW259" s="98"/>
      <c r="EX259" s="98"/>
      <c r="EY259" s="98"/>
      <c r="EZ259" s="98"/>
      <c r="FA259" s="98"/>
      <c r="FB259" s="98"/>
      <c r="FC259" s="98"/>
      <c r="FD259" s="98"/>
      <c r="FE259" s="98"/>
      <c r="FF259" s="98"/>
      <c r="FG259" s="98"/>
      <c r="FH259" s="98"/>
      <c r="FI259" s="98"/>
      <c r="FJ259" s="98"/>
      <c r="FK259" s="98"/>
      <c r="FL259" s="98"/>
      <c r="FM259" s="98"/>
      <c r="FN259" s="98"/>
      <c r="FO259" s="98"/>
      <c r="FP259" s="98"/>
      <c r="FQ259" s="98"/>
      <c r="FR259" s="98"/>
      <c r="FS259" s="98"/>
      <c r="FT259" s="98"/>
      <c r="FU259" s="98"/>
    </row>
    <row r="260" spans="10:177" s="1" customFormat="1" ht="15.75"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</row>
    <row r="261" spans="10:177" s="1" customFormat="1" ht="15.75"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8"/>
      <c r="FU261" s="98"/>
    </row>
    <row r="262" spans="10:177" s="1" customFormat="1" ht="15.75"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8"/>
      <c r="EA262" s="98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8"/>
      <c r="EN262" s="98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98"/>
      <c r="FA262" s="98"/>
      <c r="FB262" s="98"/>
      <c r="FC262" s="98"/>
      <c r="FD262" s="98"/>
      <c r="FE262" s="98"/>
      <c r="FF262" s="98"/>
      <c r="FG262" s="98"/>
      <c r="FH262" s="98"/>
      <c r="FI262" s="98"/>
      <c r="FJ262" s="98"/>
      <c r="FK262" s="98"/>
      <c r="FL262" s="98"/>
      <c r="FM262" s="98"/>
      <c r="FN262" s="98"/>
      <c r="FO262" s="98"/>
      <c r="FP262" s="98"/>
      <c r="FQ262" s="98"/>
      <c r="FR262" s="98"/>
      <c r="FS262" s="98"/>
      <c r="FT262" s="98"/>
      <c r="FU262" s="98"/>
    </row>
    <row r="263" spans="10:177" s="1" customFormat="1" ht="15.75"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  <c r="DQ263" s="98"/>
      <c r="DR263" s="98"/>
      <c r="DS263" s="98"/>
      <c r="DT263" s="98"/>
      <c r="DU263" s="98"/>
      <c r="DV263" s="98"/>
      <c r="DW263" s="98"/>
      <c r="DX263" s="98"/>
      <c r="DY263" s="98"/>
      <c r="DZ263" s="98"/>
      <c r="EA263" s="98"/>
      <c r="EB263" s="98"/>
      <c r="EC263" s="98"/>
      <c r="ED263" s="98"/>
      <c r="EE263" s="98"/>
      <c r="EF263" s="98"/>
      <c r="EG263" s="98"/>
      <c r="EH263" s="98"/>
      <c r="EI263" s="98"/>
      <c r="EJ263" s="98"/>
      <c r="EK263" s="98"/>
      <c r="EL263" s="98"/>
      <c r="EM263" s="98"/>
      <c r="EN263" s="98"/>
      <c r="EO263" s="98"/>
      <c r="EP263" s="98"/>
      <c r="EQ263" s="98"/>
      <c r="ER263" s="98"/>
      <c r="ES263" s="98"/>
      <c r="ET263" s="98"/>
      <c r="EU263" s="98"/>
      <c r="EV263" s="98"/>
      <c r="EW263" s="98"/>
      <c r="EX263" s="98"/>
      <c r="EY263" s="98"/>
      <c r="EZ263" s="98"/>
      <c r="FA263" s="98"/>
      <c r="FB263" s="98"/>
      <c r="FC263" s="98"/>
      <c r="FD263" s="98"/>
      <c r="FE263" s="98"/>
      <c r="FF263" s="98"/>
      <c r="FG263" s="98"/>
      <c r="FH263" s="98"/>
      <c r="FI263" s="98"/>
      <c r="FJ263" s="98"/>
      <c r="FK263" s="98"/>
      <c r="FL263" s="98"/>
      <c r="FM263" s="98"/>
      <c r="FN263" s="98"/>
      <c r="FO263" s="98"/>
      <c r="FP263" s="98"/>
      <c r="FQ263" s="98"/>
      <c r="FR263" s="98"/>
      <c r="FS263" s="98"/>
      <c r="FT263" s="98"/>
      <c r="FU263" s="98"/>
    </row>
    <row r="264" spans="10:177" s="1" customFormat="1" ht="15.75"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8"/>
      <c r="EA264" s="98"/>
      <c r="EB264" s="98"/>
      <c r="EC264" s="98"/>
      <c r="ED264" s="98"/>
      <c r="EE264" s="98"/>
      <c r="EF264" s="98"/>
      <c r="EG264" s="98"/>
      <c r="EH264" s="98"/>
      <c r="EI264" s="98"/>
      <c r="EJ264" s="98"/>
      <c r="EK264" s="98"/>
      <c r="EL264" s="98"/>
      <c r="EM264" s="98"/>
      <c r="EN264" s="98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  <c r="EY264" s="98"/>
      <c r="EZ264" s="98"/>
      <c r="FA264" s="98"/>
      <c r="FB264" s="98"/>
      <c r="FC264" s="98"/>
      <c r="FD264" s="98"/>
      <c r="FE264" s="98"/>
      <c r="FF264" s="98"/>
      <c r="FG264" s="98"/>
      <c r="FH264" s="98"/>
      <c r="FI264" s="98"/>
      <c r="FJ264" s="98"/>
      <c r="FK264" s="98"/>
      <c r="FL264" s="98"/>
      <c r="FM264" s="98"/>
      <c r="FN264" s="98"/>
      <c r="FO264" s="98"/>
      <c r="FP264" s="98"/>
      <c r="FQ264" s="98"/>
      <c r="FR264" s="98"/>
      <c r="FS264" s="98"/>
      <c r="FT264" s="98"/>
      <c r="FU264" s="98"/>
    </row>
    <row r="265" spans="10:177" s="1" customFormat="1" ht="15.75"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8"/>
      <c r="DN265" s="98"/>
      <c r="DO265" s="98"/>
      <c r="DP265" s="98"/>
      <c r="DQ265" s="98"/>
      <c r="DR265" s="98"/>
      <c r="DS265" s="98"/>
      <c r="DT265" s="98"/>
      <c r="DU265" s="98"/>
      <c r="DV265" s="98"/>
      <c r="DW265" s="98"/>
      <c r="DX265" s="98"/>
      <c r="DY265" s="98"/>
      <c r="DZ265" s="98"/>
      <c r="EA265" s="98"/>
      <c r="EB265" s="98"/>
      <c r="EC265" s="98"/>
      <c r="ED265" s="98"/>
      <c r="EE265" s="98"/>
      <c r="EF265" s="98"/>
      <c r="EG265" s="98"/>
      <c r="EH265" s="98"/>
      <c r="EI265" s="98"/>
      <c r="EJ265" s="98"/>
      <c r="EK265" s="98"/>
      <c r="EL265" s="98"/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98"/>
      <c r="FA265" s="98"/>
      <c r="FB265" s="98"/>
      <c r="FC265" s="98"/>
      <c r="FD265" s="98"/>
      <c r="FE265" s="98"/>
      <c r="FF265" s="98"/>
      <c r="FG265" s="98"/>
      <c r="FH265" s="98"/>
      <c r="FI265" s="98"/>
      <c r="FJ265" s="98"/>
      <c r="FK265" s="98"/>
      <c r="FL265" s="98"/>
      <c r="FM265" s="98"/>
      <c r="FN265" s="98"/>
      <c r="FO265" s="98"/>
      <c r="FP265" s="98"/>
      <c r="FQ265" s="98"/>
      <c r="FR265" s="98"/>
      <c r="FS265" s="98"/>
      <c r="FT265" s="98"/>
      <c r="FU265" s="98"/>
    </row>
    <row r="266" spans="10:177" s="1" customFormat="1" ht="15.75"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  <c r="DQ266" s="98"/>
      <c r="DR266" s="98"/>
      <c r="DS266" s="98"/>
      <c r="DT266" s="98"/>
      <c r="DU266" s="98"/>
      <c r="DV266" s="98"/>
      <c r="DW266" s="98"/>
      <c r="DX266" s="98"/>
      <c r="DY266" s="98"/>
      <c r="DZ266" s="98"/>
      <c r="EA266" s="98"/>
      <c r="EB266" s="98"/>
      <c r="EC266" s="98"/>
      <c r="ED266" s="98"/>
      <c r="EE266" s="98"/>
      <c r="EF266" s="98"/>
      <c r="EG266" s="98"/>
      <c r="EH266" s="98"/>
      <c r="EI266" s="98"/>
      <c r="EJ266" s="98"/>
      <c r="EK266" s="98"/>
      <c r="EL266" s="98"/>
      <c r="EM266" s="98"/>
      <c r="EN266" s="98"/>
      <c r="EO266" s="98"/>
      <c r="EP266" s="98"/>
      <c r="EQ266" s="98"/>
      <c r="ER266" s="98"/>
      <c r="ES266" s="98"/>
      <c r="ET266" s="98"/>
      <c r="EU266" s="98"/>
      <c r="EV266" s="98"/>
      <c r="EW266" s="98"/>
      <c r="EX266" s="98"/>
      <c r="EY266" s="98"/>
      <c r="EZ266" s="98"/>
      <c r="FA266" s="98"/>
      <c r="FB266" s="98"/>
      <c r="FC266" s="98"/>
      <c r="FD266" s="98"/>
      <c r="FE266" s="98"/>
      <c r="FF266" s="98"/>
      <c r="FG266" s="98"/>
      <c r="FH266" s="98"/>
      <c r="FI266" s="98"/>
      <c r="FJ266" s="98"/>
      <c r="FK266" s="98"/>
      <c r="FL266" s="98"/>
      <c r="FM266" s="98"/>
      <c r="FN266" s="98"/>
      <c r="FO266" s="98"/>
      <c r="FP266" s="98"/>
      <c r="FQ266" s="98"/>
      <c r="FR266" s="98"/>
      <c r="FS266" s="98"/>
      <c r="FT266" s="98"/>
      <c r="FU266" s="98"/>
    </row>
    <row r="267" spans="10:177" s="1" customFormat="1" ht="15.75"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  <c r="DG267" s="98"/>
      <c r="DH267" s="98"/>
      <c r="DI267" s="98"/>
      <c r="DJ267" s="98"/>
      <c r="DK267" s="98"/>
      <c r="DL267" s="98"/>
      <c r="DM267" s="98"/>
      <c r="DN267" s="98"/>
      <c r="DO267" s="98"/>
      <c r="DP267" s="98"/>
      <c r="DQ267" s="98"/>
      <c r="DR267" s="98"/>
      <c r="DS267" s="98"/>
      <c r="DT267" s="98"/>
      <c r="DU267" s="98"/>
      <c r="DV267" s="98"/>
      <c r="DW267" s="98"/>
      <c r="DX267" s="98"/>
      <c r="DY267" s="98"/>
      <c r="DZ267" s="98"/>
      <c r="EA267" s="98"/>
      <c r="EB267" s="98"/>
      <c r="EC267" s="98"/>
      <c r="ED267" s="98"/>
      <c r="EE267" s="98"/>
      <c r="EF267" s="98"/>
      <c r="EG267" s="98"/>
      <c r="EH267" s="98"/>
      <c r="EI267" s="98"/>
      <c r="EJ267" s="98"/>
      <c r="EK267" s="98"/>
      <c r="EL267" s="98"/>
      <c r="EM267" s="98"/>
      <c r="EN267" s="98"/>
      <c r="EO267" s="98"/>
      <c r="EP267" s="98"/>
      <c r="EQ267" s="98"/>
      <c r="ER267" s="98"/>
      <c r="ES267" s="98"/>
      <c r="ET267" s="98"/>
      <c r="EU267" s="98"/>
      <c r="EV267" s="98"/>
      <c r="EW267" s="98"/>
      <c r="EX267" s="98"/>
      <c r="EY267" s="98"/>
      <c r="EZ267" s="98"/>
      <c r="FA267" s="98"/>
      <c r="FB267" s="98"/>
      <c r="FC267" s="98"/>
      <c r="FD267" s="98"/>
      <c r="FE267" s="98"/>
      <c r="FF267" s="98"/>
      <c r="FG267" s="98"/>
      <c r="FH267" s="98"/>
      <c r="FI267" s="98"/>
      <c r="FJ267" s="98"/>
      <c r="FK267" s="98"/>
      <c r="FL267" s="98"/>
      <c r="FM267" s="98"/>
      <c r="FN267" s="98"/>
      <c r="FO267" s="98"/>
      <c r="FP267" s="98"/>
      <c r="FQ267" s="98"/>
      <c r="FR267" s="98"/>
      <c r="FS267" s="98"/>
      <c r="FT267" s="98"/>
      <c r="FU267" s="98"/>
    </row>
    <row r="268" spans="10:177" s="1" customFormat="1" ht="15.75"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98"/>
      <c r="DL268" s="98"/>
      <c r="DM268" s="98"/>
      <c r="DN268" s="98"/>
      <c r="DO268" s="98"/>
      <c r="DP268" s="98"/>
      <c r="DQ268" s="98"/>
      <c r="DR268" s="98"/>
      <c r="DS268" s="98"/>
      <c r="DT268" s="98"/>
      <c r="DU268" s="98"/>
      <c r="DV268" s="98"/>
      <c r="DW268" s="98"/>
      <c r="DX268" s="98"/>
      <c r="DY268" s="98"/>
      <c r="DZ268" s="98"/>
      <c r="EA268" s="98"/>
      <c r="EB268" s="98"/>
      <c r="EC268" s="98"/>
      <c r="ED268" s="98"/>
      <c r="EE268" s="98"/>
      <c r="EF268" s="98"/>
      <c r="EG268" s="98"/>
      <c r="EH268" s="98"/>
      <c r="EI268" s="98"/>
      <c r="EJ268" s="98"/>
      <c r="EK268" s="98"/>
      <c r="EL268" s="98"/>
      <c r="EM268" s="98"/>
      <c r="EN268" s="98"/>
      <c r="EO268" s="98"/>
      <c r="EP268" s="98"/>
      <c r="EQ268" s="98"/>
      <c r="ER268" s="98"/>
      <c r="ES268" s="98"/>
      <c r="ET268" s="98"/>
      <c r="EU268" s="98"/>
      <c r="EV268" s="98"/>
      <c r="EW268" s="98"/>
      <c r="EX268" s="98"/>
      <c r="EY268" s="98"/>
      <c r="EZ268" s="98"/>
      <c r="FA268" s="98"/>
      <c r="FB268" s="98"/>
      <c r="FC268" s="98"/>
      <c r="FD268" s="98"/>
      <c r="FE268" s="98"/>
      <c r="FF268" s="98"/>
      <c r="FG268" s="98"/>
      <c r="FH268" s="98"/>
      <c r="FI268" s="98"/>
      <c r="FJ268" s="98"/>
      <c r="FK268" s="98"/>
      <c r="FL268" s="98"/>
      <c r="FM268" s="98"/>
      <c r="FN268" s="98"/>
      <c r="FO268" s="98"/>
      <c r="FP268" s="98"/>
      <c r="FQ268" s="98"/>
      <c r="FR268" s="98"/>
      <c r="FS268" s="98"/>
      <c r="FT268" s="98"/>
      <c r="FU268" s="98"/>
    </row>
    <row r="269" spans="10:177" s="1" customFormat="1" ht="15.75"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  <c r="DG269" s="98"/>
      <c r="DH269" s="98"/>
      <c r="DI269" s="98"/>
      <c r="DJ269" s="98"/>
      <c r="DK269" s="98"/>
      <c r="DL269" s="98"/>
      <c r="DM269" s="98"/>
      <c r="DN269" s="98"/>
      <c r="DO269" s="98"/>
      <c r="DP269" s="98"/>
      <c r="DQ269" s="98"/>
      <c r="DR269" s="98"/>
      <c r="DS269" s="98"/>
      <c r="DT269" s="98"/>
      <c r="DU269" s="98"/>
      <c r="DV269" s="98"/>
      <c r="DW269" s="98"/>
      <c r="DX269" s="98"/>
      <c r="DY269" s="98"/>
      <c r="DZ269" s="98"/>
      <c r="EA269" s="98"/>
      <c r="EB269" s="98"/>
      <c r="EC269" s="98"/>
      <c r="ED269" s="98"/>
      <c r="EE269" s="98"/>
      <c r="EF269" s="98"/>
      <c r="EG269" s="98"/>
      <c r="EH269" s="98"/>
      <c r="EI269" s="98"/>
      <c r="EJ269" s="98"/>
      <c r="EK269" s="98"/>
      <c r="EL269" s="98"/>
      <c r="EM269" s="98"/>
      <c r="EN269" s="98"/>
      <c r="EO269" s="98"/>
      <c r="EP269" s="98"/>
      <c r="EQ269" s="98"/>
      <c r="ER269" s="98"/>
      <c r="ES269" s="98"/>
      <c r="ET269" s="98"/>
      <c r="EU269" s="98"/>
      <c r="EV269" s="98"/>
      <c r="EW269" s="98"/>
      <c r="EX269" s="98"/>
      <c r="EY269" s="98"/>
      <c r="EZ269" s="98"/>
      <c r="FA269" s="98"/>
      <c r="FB269" s="98"/>
      <c r="FC269" s="98"/>
      <c r="FD269" s="98"/>
      <c r="FE269" s="98"/>
      <c r="FF269" s="98"/>
      <c r="FG269" s="98"/>
      <c r="FH269" s="98"/>
      <c r="FI269" s="98"/>
      <c r="FJ269" s="98"/>
      <c r="FK269" s="98"/>
      <c r="FL269" s="98"/>
      <c r="FM269" s="98"/>
      <c r="FN269" s="98"/>
      <c r="FO269" s="98"/>
      <c r="FP269" s="98"/>
      <c r="FQ269" s="98"/>
      <c r="FR269" s="98"/>
      <c r="FS269" s="98"/>
      <c r="FT269" s="98"/>
      <c r="FU269" s="98"/>
    </row>
    <row r="270" spans="10:177" s="1" customFormat="1" ht="15.75"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  <c r="DG270" s="98"/>
      <c r="DH270" s="98"/>
      <c r="DI270" s="98"/>
      <c r="DJ270" s="98"/>
      <c r="DK270" s="98"/>
      <c r="DL270" s="98"/>
      <c r="DM270" s="98"/>
      <c r="DN270" s="98"/>
      <c r="DO270" s="98"/>
      <c r="DP270" s="98"/>
      <c r="DQ270" s="98"/>
      <c r="DR270" s="98"/>
      <c r="DS270" s="98"/>
      <c r="DT270" s="98"/>
      <c r="DU270" s="98"/>
      <c r="DV270" s="98"/>
      <c r="DW270" s="98"/>
      <c r="DX270" s="98"/>
      <c r="DY270" s="98"/>
      <c r="DZ270" s="98"/>
      <c r="EA270" s="98"/>
      <c r="EB270" s="98"/>
      <c r="EC270" s="98"/>
      <c r="ED270" s="98"/>
      <c r="EE270" s="98"/>
      <c r="EF270" s="98"/>
      <c r="EG270" s="98"/>
      <c r="EH270" s="98"/>
      <c r="EI270" s="98"/>
      <c r="EJ270" s="98"/>
      <c r="EK270" s="98"/>
      <c r="EL270" s="98"/>
      <c r="EM270" s="98"/>
      <c r="EN270" s="98"/>
      <c r="EO270" s="98"/>
      <c r="EP270" s="98"/>
      <c r="EQ270" s="98"/>
      <c r="ER270" s="98"/>
      <c r="ES270" s="98"/>
      <c r="ET270" s="98"/>
      <c r="EU270" s="98"/>
      <c r="EV270" s="98"/>
      <c r="EW270" s="98"/>
      <c r="EX270" s="98"/>
      <c r="EY270" s="98"/>
      <c r="EZ270" s="98"/>
      <c r="FA270" s="98"/>
      <c r="FB270" s="98"/>
      <c r="FC270" s="98"/>
      <c r="FD270" s="98"/>
      <c r="FE270" s="98"/>
      <c r="FF270" s="98"/>
      <c r="FG270" s="98"/>
      <c r="FH270" s="98"/>
      <c r="FI270" s="98"/>
      <c r="FJ270" s="98"/>
      <c r="FK270" s="98"/>
      <c r="FL270" s="98"/>
      <c r="FM270" s="98"/>
      <c r="FN270" s="98"/>
      <c r="FO270" s="98"/>
      <c r="FP270" s="98"/>
      <c r="FQ270" s="98"/>
      <c r="FR270" s="98"/>
      <c r="FS270" s="98"/>
      <c r="FT270" s="98"/>
      <c r="FU270" s="98"/>
    </row>
    <row r="271" spans="10:177" s="1" customFormat="1" ht="15.75"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8"/>
      <c r="DN271" s="98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8"/>
      <c r="EA271" s="98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98"/>
      <c r="EM271" s="98"/>
      <c r="EN271" s="98"/>
      <c r="EO271" s="98"/>
      <c r="EP271" s="98"/>
      <c r="EQ271" s="98"/>
      <c r="ER271" s="98"/>
      <c r="ES271" s="98"/>
      <c r="ET271" s="98"/>
      <c r="EU271" s="98"/>
      <c r="EV271" s="98"/>
      <c r="EW271" s="98"/>
      <c r="EX271" s="98"/>
      <c r="EY271" s="98"/>
      <c r="EZ271" s="98"/>
      <c r="FA271" s="98"/>
      <c r="FB271" s="98"/>
      <c r="FC271" s="98"/>
      <c r="FD271" s="98"/>
      <c r="FE271" s="98"/>
      <c r="FF271" s="98"/>
      <c r="FG271" s="98"/>
      <c r="FH271" s="98"/>
      <c r="FI271" s="98"/>
      <c r="FJ271" s="98"/>
      <c r="FK271" s="98"/>
      <c r="FL271" s="98"/>
      <c r="FM271" s="98"/>
      <c r="FN271" s="98"/>
      <c r="FO271" s="98"/>
      <c r="FP271" s="98"/>
      <c r="FQ271" s="98"/>
      <c r="FR271" s="98"/>
      <c r="FS271" s="98"/>
      <c r="FT271" s="98"/>
      <c r="FU271" s="98"/>
    </row>
    <row r="272" spans="10:177" s="1" customFormat="1" ht="15.75"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  <c r="DG272" s="98"/>
      <c r="DH272" s="98"/>
      <c r="DI272" s="98"/>
      <c r="DJ272" s="98"/>
      <c r="DK272" s="98"/>
      <c r="DL272" s="98"/>
      <c r="DM272" s="98"/>
      <c r="DN272" s="98"/>
      <c r="DO272" s="98"/>
      <c r="DP272" s="98"/>
      <c r="DQ272" s="98"/>
      <c r="DR272" s="98"/>
      <c r="DS272" s="98"/>
      <c r="DT272" s="98"/>
      <c r="DU272" s="98"/>
      <c r="DV272" s="98"/>
      <c r="DW272" s="98"/>
      <c r="DX272" s="98"/>
      <c r="DY272" s="98"/>
      <c r="DZ272" s="98"/>
      <c r="EA272" s="98"/>
      <c r="EB272" s="98"/>
      <c r="EC272" s="98"/>
      <c r="ED272" s="98"/>
      <c r="EE272" s="98"/>
      <c r="EF272" s="98"/>
      <c r="EG272" s="98"/>
      <c r="EH272" s="98"/>
      <c r="EI272" s="98"/>
      <c r="EJ272" s="98"/>
      <c r="EK272" s="98"/>
      <c r="EL272" s="98"/>
      <c r="EM272" s="98"/>
      <c r="EN272" s="98"/>
      <c r="EO272" s="98"/>
      <c r="EP272" s="98"/>
      <c r="EQ272" s="98"/>
      <c r="ER272" s="98"/>
      <c r="ES272" s="98"/>
      <c r="ET272" s="98"/>
      <c r="EU272" s="98"/>
      <c r="EV272" s="98"/>
      <c r="EW272" s="98"/>
      <c r="EX272" s="98"/>
      <c r="EY272" s="98"/>
      <c r="EZ272" s="98"/>
      <c r="FA272" s="98"/>
      <c r="FB272" s="98"/>
      <c r="FC272" s="98"/>
      <c r="FD272" s="98"/>
      <c r="FE272" s="98"/>
      <c r="FF272" s="98"/>
      <c r="FG272" s="98"/>
      <c r="FH272" s="98"/>
      <c r="FI272" s="98"/>
      <c r="FJ272" s="98"/>
      <c r="FK272" s="98"/>
      <c r="FL272" s="98"/>
      <c r="FM272" s="98"/>
      <c r="FN272" s="98"/>
      <c r="FO272" s="98"/>
      <c r="FP272" s="98"/>
      <c r="FQ272" s="98"/>
      <c r="FR272" s="98"/>
      <c r="FS272" s="98"/>
      <c r="FT272" s="98"/>
      <c r="FU272" s="98"/>
    </row>
    <row r="273" spans="10:177" s="1" customFormat="1" ht="15.75"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98"/>
      <c r="DL273" s="98"/>
      <c r="DM273" s="98"/>
      <c r="DN273" s="98"/>
      <c r="DO273" s="98"/>
      <c r="DP273" s="98"/>
      <c r="DQ273" s="98"/>
      <c r="DR273" s="98"/>
      <c r="DS273" s="98"/>
      <c r="DT273" s="98"/>
      <c r="DU273" s="98"/>
      <c r="DV273" s="98"/>
      <c r="DW273" s="98"/>
      <c r="DX273" s="98"/>
      <c r="DY273" s="98"/>
      <c r="DZ273" s="98"/>
      <c r="EA273" s="98"/>
      <c r="EB273" s="98"/>
      <c r="EC273" s="98"/>
      <c r="ED273" s="98"/>
      <c r="EE273" s="98"/>
      <c r="EF273" s="98"/>
      <c r="EG273" s="98"/>
      <c r="EH273" s="98"/>
      <c r="EI273" s="98"/>
      <c r="EJ273" s="98"/>
      <c r="EK273" s="98"/>
      <c r="EL273" s="98"/>
      <c r="EM273" s="98"/>
      <c r="EN273" s="98"/>
      <c r="EO273" s="98"/>
      <c r="EP273" s="98"/>
      <c r="EQ273" s="98"/>
      <c r="ER273" s="98"/>
      <c r="ES273" s="98"/>
      <c r="ET273" s="98"/>
      <c r="EU273" s="98"/>
      <c r="EV273" s="98"/>
      <c r="EW273" s="98"/>
      <c r="EX273" s="98"/>
      <c r="EY273" s="98"/>
      <c r="EZ273" s="98"/>
      <c r="FA273" s="98"/>
      <c r="FB273" s="98"/>
      <c r="FC273" s="98"/>
      <c r="FD273" s="98"/>
      <c r="FE273" s="98"/>
      <c r="FF273" s="98"/>
      <c r="FG273" s="98"/>
      <c r="FH273" s="98"/>
      <c r="FI273" s="98"/>
      <c r="FJ273" s="98"/>
      <c r="FK273" s="98"/>
      <c r="FL273" s="98"/>
      <c r="FM273" s="98"/>
      <c r="FN273" s="98"/>
      <c r="FO273" s="98"/>
      <c r="FP273" s="98"/>
      <c r="FQ273" s="98"/>
      <c r="FR273" s="98"/>
      <c r="FS273" s="98"/>
      <c r="FT273" s="98"/>
      <c r="FU273" s="98"/>
    </row>
    <row r="274" spans="10:177" s="1" customFormat="1" ht="15.75"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98"/>
      <c r="EM274" s="98"/>
      <c r="EN274" s="98"/>
      <c r="EO274" s="98"/>
      <c r="EP274" s="98"/>
      <c r="EQ274" s="98"/>
      <c r="ER274" s="98"/>
      <c r="ES274" s="98"/>
      <c r="ET274" s="98"/>
      <c r="EU274" s="98"/>
      <c r="EV274" s="98"/>
      <c r="EW274" s="98"/>
      <c r="EX274" s="98"/>
      <c r="EY274" s="98"/>
      <c r="EZ274" s="98"/>
      <c r="FA274" s="98"/>
      <c r="FB274" s="98"/>
      <c r="FC274" s="98"/>
      <c r="FD274" s="98"/>
      <c r="FE274" s="98"/>
      <c r="FF274" s="98"/>
      <c r="FG274" s="98"/>
      <c r="FH274" s="98"/>
      <c r="FI274" s="98"/>
      <c r="FJ274" s="98"/>
      <c r="FK274" s="98"/>
      <c r="FL274" s="98"/>
      <c r="FM274" s="98"/>
      <c r="FN274" s="98"/>
      <c r="FO274" s="98"/>
      <c r="FP274" s="98"/>
      <c r="FQ274" s="98"/>
      <c r="FR274" s="98"/>
      <c r="FS274" s="98"/>
      <c r="FT274" s="98"/>
      <c r="FU274" s="98"/>
    </row>
    <row r="275" spans="10:177" s="1" customFormat="1" ht="15.75"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  <c r="DG275" s="98"/>
      <c r="DH275" s="98"/>
      <c r="DI275" s="98"/>
      <c r="DJ275" s="98"/>
      <c r="DK275" s="98"/>
      <c r="DL275" s="98"/>
      <c r="DM275" s="98"/>
      <c r="DN275" s="98"/>
      <c r="DO275" s="98"/>
      <c r="DP275" s="98"/>
      <c r="DQ275" s="98"/>
      <c r="DR275" s="98"/>
      <c r="DS275" s="98"/>
      <c r="DT275" s="98"/>
      <c r="DU275" s="98"/>
      <c r="DV275" s="98"/>
      <c r="DW275" s="98"/>
      <c r="DX275" s="98"/>
      <c r="DY275" s="98"/>
      <c r="DZ275" s="98"/>
      <c r="EA275" s="98"/>
      <c r="EB275" s="98"/>
      <c r="EC275" s="98"/>
      <c r="ED275" s="98"/>
      <c r="EE275" s="98"/>
      <c r="EF275" s="98"/>
      <c r="EG275" s="98"/>
      <c r="EH275" s="98"/>
      <c r="EI275" s="98"/>
      <c r="EJ275" s="98"/>
      <c r="EK275" s="98"/>
      <c r="EL275" s="98"/>
      <c r="EM275" s="98"/>
      <c r="EN275" s="98"/>
      <c r="EO275" s="98"/>
      <c r="EP275" s="98"/>
      <c r="EQ275" s="98"/>
      <c r="ER275" s="98"/>
      <c r="ES275" s="98"/>
      <c r="ET275" s="98"/>
      <c r="EU275" s="98"/>
      <c r="EV275" s="98"/>
      <c r="EW275" s="98"/>
      <c r="EX275" s="98"/>
      <c r="EY275" s="98"/>
      <c r="EZ275" s="98"/>
      <c r="FA275" s="98"/>
      <c r="FB275" s="98"/>
      <c r="FC275" s="98"/>
      <c r="FD275" s="98"/>
      <c r="FE275" s="98"/>
      <c r="FF275" s="98"/>
      <c r="FG275" s="98"/>
      <c r="FH275" s="98"/>
      <c r="FI275" s="98"/>
      <c r="FJ275" s="98"/>
      <c r="FK275" s="98"/>
      <c r="FL275" s="98"/>
      <c r="FM275" s="98"/>
      <c r="FN275" s="98"/>
      <c r="FO275" s="98"/>
      <c r="FP275" s="98"/>
      <c r="FQ275" s="98"/>
      <c r="FR275" s="98"/>
      <c r="FS275" s="98"/>
      <c r="FT275" s="98"/>
      <c r="FU275" s="98"/>
    </row>
    <row r="276" spans="10:177" s="1" customFormat="1" ht="15.75"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  <c r="DG276" s="98"/>
      <c r="DH276" s="98"/>
      <c r="DI276" s="98"/>
      <c r="DJ276" s="98"/>
      <c r="DK276" s="98"/>
      <c r="DL276" s="98"/>
      <c r="DM276" s="98"/>
      <c r="DN276" s="98"/>
      <c r="DO276" s="98"/>
      <c r="DP276" s="98"/>
      <c r="DQ276" s="98"/>
      <c r="DR276" s="98"/>
      <c r="DS276" s="98"/>
      <c r="DT276" s="98"/>
      <c r="DU276" s="98"/>
      <c r="DV276" s="98"/>
      <c r="DW276" s="98"/>
      <c r="DX276" s="98"/>
      <c r="DY276" s="98"/>
      <c r="DZ276" s="98"/>
      <c r="EA276" s="98"/>
      <c r="EB276" s="98"/>
      <c r="EC276" s="98"/>
      <c r="ED276" s="98"/>
      <c r="EE276" s="98"/>
      <c r="EF276" s="98"/>
      <c r="EG276" s="98"/>
      <c r="EH276" s="98"/>
      <c r="EI276" s="98"/>
      <c r="EJ276" s="98"/>
      <c r="EK276" s="98"/>
      <c r="EL276" s="98"/>
      <c r="EM276" s="98"/>
      <c r="EN276" s="98"/>
      <c r="EO276" s="98"/>
      <c r="EP276" s="98"/>
      <c r="EQ276" s="98"/>
      <c r="ER276" s="98"/>
      <c r="ES276" s="98"/>
      <c r="ET276" s="98"/>
      <c r="EU276" s="98"/>
      <c r="EV276" s="98"/>
      <c r="EW276" s="98"/>
      <c r="EX276" s="98"/>
      <c r="EY276" s="98"/>
      <c r="EZ276" s="98"/>
      <c r="FA276" s="98"/>
      <c r="FB276" s="98"/>
      <c r="FC276" s="98"/>
      <c r="FD276" s="98"/>
      <c r="FE276" s="98"/>
      <c r="FF276" s="98"/>
      <c r="FG276" s="98"/>
      <c r="FH276" s="98"/>
      <c r="FI276" s="98"/>
      <c r="FJ276" s="98"/>
      <c r="FK276" s="98"/>
      <c r="FL276" s="98"/>
      <c r="FM276" s="98"/>
      <c r="FN276" s="98"/>
      <c r="FO276" s="98"/>
      <c r="FP276" s="98"/>
      <c r="FQ276" s="98"/>
      <c r="FR276" s="98"/>
      <c r="FS276" s="98"/>
      <c r="FT276" s="98"/>
      <c r="FU276" s="98"/>
    </row>
    <row r="277" spans="10:177" s="1" customFormat="1" ht="15.75"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  <c r="DG277" s="98"/>
      <c r="DH277" s="98"/>
      <c r="DI277" s="98"/>
      <c r="DJ277" s="98"/>
      <c r="DK277" s="98"/>
      <c r="DL277" s="98"/>
      <c r="DM277" s="98"/>
      <c r="DN277" s="98"/>
      <c r="DO277" s="98"/>
      <c r="DP277" s="98"/>
      <c r="DQ277" s="98"/>
      <c r="DR277" s="98"/>
      <c r="DS277" s="98"/>
      <c r="DT277" s="98"/>
      <c r="DU277" s="98"/>
      <c r="DV277" s="98"/>
      <c r="DW277" s="98"/>
      <c r="DX277" s="98"/>
      <c r="DY277" s="98"/>
      <c r="DZ277" s="98"/>
      <c r="EA277" s="98"/>
      <c r="EB277" s="98"/>
      <c r="EC277" s="98"/>
      <c r="ED277" s="98"/>
      <c r="EE277" s="98"/>
      <c r="EF277" s="98"/>
      <c r="EG277" s="98"/>
      <c r="EH277" s="98"/>
      <c r="EI277" s="98"/>
      <c r="EJ277" s="98"/>
      <c r="EK277" s="98"/>
      <c r="EL277" s="98"/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  <c r="EY277" s="98"/>
      <c r="EZ277" s="98"/>
      <c r="FA277" s="98"/>
      <c r="FB277" s="98"/>
      <c r="FC277" s="98"/>
      <c r="FD277" s="98"/>
      <c r="FE277" s="98"/>
      <c r="FF277" s="98"/>
      <c r="FG277" s="98"/>
      <c r="FH277" s="98"/>
      <c r="FI277" s="98"/>
      <c r="FJ277" s="98"/>
      <c r="FK277" s="98"/>
      <c r="FL277" s="98"/>
      <c r="FM277" s="98"/>
      <c r="FN277" s="98"/>
      <c r="FO277" s="98"/>
      <c r="FP277" s="98"/>
      <c r="FQ277" s="98"/>
      <c r="FR277" s="98"/>
      <c r="FS277" s="98"/>
      <c r="FT277" s="98"/>
      <c r="FU277" s="98"/>
    </row>
    <row r="278" spans="10:177" s="1" customFormat="1" ht="15.75"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  <c r="EY278" s="98"/>
      <c r="EZ278" s="98"/>
      <c r="FA278" s="98"/>
      <c r="FB278" s="98"/>
      <c r="FC278" s="98"/>
      <c r="FD278" s="98"/>
      <c r="FE278" s="98"/>
      <c r="FF278" s="98"/>
      <c r="FG278" s="98"/>
      <c r="FH278" s="98"/>
      <c r="FI278" s="98"/>
      <c r="FJ278" s="98"/>
      <c r="FK278" s="98"/>
      <c r="FL278" s="98"/>
      <c r="FM278" s="98"/>
      <c r="FN278" s="98"/>
      <c r="FO278" s="98"/>
      <c r="FP278" s="98"/>
      <c r="FQ278" s="98"/>
      <c r="FR278" s="98"/>
      <c r="FS278" s="98"/>
      <c r="FT278" s="98"/>
      <c r="FU278" s="98"/>
    </row>
    <row r="279" spans="10:177" s="1" customFormat="1" ht="15.75"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98"/>
      <c r="EM279" s="98"/>
      <c r="EN279" s="98"/>
      <c r="EO279" s="98"/>
      <c r="EP279" s="98"/>
      <c r="EQ279" s="98"/>
      <c r="ER279" s="98"/>
      <c r="ES279" s="98"/>
      <c r="ET279" s="98"/>
      <c r="EU279" s="98"/>
      <c r="EV279" s="98"/>
      <c r="EW279" s="98"/>
      <c r="EX279" s="98"/>
      <c r="EY279" s="98"/>
      <c r="EZ279" s="98"/>
      <c r="FA279" s="98"/>
      <c r="FB279" s="98"/>
      <c r="FC279" s="98"/>
      <c r="FD279" s="98"/>
      <c r="FE279" s="98"/>
      <c r="FF279" s="98"/>
      <c r="FG279" s="98"/>
      <c r="FH279" s="98"/>
      <c r="FI279" s="98"/>
      <c r="FJ279" s="98"/>
      <c r="FK279" s="98"/>
      <c r="FL279" s="98"/>
      <c r="FM279" s="98"/>
      <c r="FN279" s="98"/>
      <c r="FO279" s="98"/>
      <c r="FP279" s="98"/>
      <c r="FQ279" s="98"/>
      <c r="FR279" s="98"/>
      <c r="FS279" s="98"/>
      <c r="FT279" s="98"/>
      <c r="FU279" s="98"/>
    </row>
    <row r="280" spans="10:177" s="1" customFormat="1" ht="15.75"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98"/>
      <c r="EM280" s="98"/>
      <c r="EN280" s="98"/>
      <c r="EO280" s="98"/>
      <c r="EP280" s="98"/>
      <c r="EQ280" s="98"/>
      <c r="ER280" s="98"/>
      <c r="ES280" s="98"/>
      <c r="ET280" s="98"/>
      <c r="EU280" s="98"/>
      <c r="EV280" s="98"/>
      <c r="EW280" s="98"/>
      <c r="EX280" s="98"/>
      <c r="EY280" s="98"/>
      <c r="EZ280" s="98"/>
      <c r="FA280" s="98"/>
      <c r="FB280" s="98"/>
      <c r="FC280" s="98"/>
      <c r="FD280" s="98"/>
      <c r="FE280" s="98"/>
      <c r="FF280" s="98"/>
      <c r="FG280" s="98"/>
      <c r="FH280" s="98"/>
      <c r="FI280" s="98"/>
      <c r="FJ280" s="98"/>
      <c r="FK280" s="98"/>
      <c r="FL280" s="98"/>
      <c r="FM280" s="98"/>
      <c r="FN280" s="98"/>
      <c r="FO280" s="98"/>
      <c r="FP280" s="98"/>
      <c r="FQ280" s="98"/>
      <c r="FR280" s="98"/>
      <c r="FS280" s="98"/>
      <c r="FT280" s="98"/>
      <c r="FU280" s="98"/>
    </row>
    <row r="281" spans="10:177" s="1" customFormat="1" ht="15.75"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  <c r="DQ281" s="98"/>
      <c r="DR281" s="98"/>
      <c r="DS281" s="98"/>
      <c r="DT281" s="98"/>
      <c r="DU281" s="98"/>
      <c r="DV281" s="98"/>
      <c r="DW281" s="98"/>
      <c r="DX281" s="98"/>
      <c r="DY281" s="98"/>
      <c r="DZ281" s="98"/>
      <c r="EA281" s="98"/>
      <c r="EB281" s="98"/>
      <c r="EC281" s="98"/>
      <c r="ED281" s="98"/>
      <c r="EE281" s="98"/>
      <c r="EF281" s="98"/>
      <c r="EG281" s="98"/>
      <c r="EH281" s="98"/>
      <c r="EI281" s="98"/>
      <c r="EJ281" s="98"/>
      <c r="EK281" s="98"/>
      <c r="EL281" s="98"/>
      <c r="EM281" s="98"/>
      <c r="EN281" s="98"/>
      <c r="EO281" s="98"/>
      <c r="EP281" s="98"/>
      <c r="EQ281" s="98"/>
      <c r="ER281" s="98"/>
      <c r="ES281" s="98"/>
      <c r="ET281" s="98"/>
      <c r="EU281" s="98"/>
      <c r="EV281" s="98"/>
      <c r="EW281" s="98"/>
      <c r="EX281" s="98"/>
      <c r="EY281" s="98"/>
      <c r="EZ281" s="98"/>
      <c r="FA281" s="98"/>
      <c r="FB281" s="98"/>
      <c r="FC281" s="98"/>
      <c r="FD281" s="98"/>
      <c r="FE281" s="98"/>
      <c r="FF281" s="98"/>
      <c r="FG281" s="98"/>
      <c r="FH281" s="98"/>
      <c r="FI281" s="98"/>
      <c r="FJ281" s="98"/>
      <c r="FK281" s="98"/>
      <c r="FL281" s="98"/>
      <c r="FM281" s="98"/>
      <c r="FN281" s="98"/>
      <c r="FO281" s="98"/>
      <c r="FP281" s="98"/>
      <c r="FQ281" s="98"/>
      <c r="FR281" s="98"/>
      <c r="FS281" s="98"/>
      <c r="FT281" s="98"/>
      <c r="FU281" s="98"/>
    </row>
    <row r="282" spans="10:177" s="1" customFormat="1" ht="15.75"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  <c r="DQ282" s="98"/>
      <c r="DR282" s="98"/>
      <c r="DS282" s="98"/>
      <c r="DT282" s="98"/>
      <c r="DU282" s="98"/>
      <c r="DV282" s="98"/>
      <c r="DW282" s="98"/>
      <c r="DX282" s="98"/>
      <c r="DY282" s="98"/>
      <c r="DZ282" s="98"/>
      <c r="EA282" s="98"/>
      <c r="EB282" s="98"/>
      <c r="EC282" s="98"/>
      <c r="ED282" s="98"/>
      <c r="EE282" s="98"/>
      <c r="EF282" s="98"/>
      <c r="EG282" s="98"/>
      <c r="EH282" s="98"/>
      <c r="EI282" s="98"/>
      <c r="EJ282" s="98"/>
      <c r="EK282" s="98"/>
      <c r="EL282" s="98"/>
      <c r="EM282" s="98"/>
      <c r="EN282" s="98"/>
      <c r="EO282" s="98"/>
      <c r="EP282" s="98"/>
      <c r="EQ282" s="98"/>
      <c r="ER282" s="98"/>
      <c r="ES282" s="98"/>
      <c r="ET282" s="98"/>
      <c r="EU282" s="98"/>
      <c r="EV282" s="98"/>
      <c r="EW282" s="98"/>
      <c r="EX282" s="98"/>
      <c r="EY282" s="98"/>
      <c r="EZ282" s="98"/>
      <c r="FA282" s="98"/>
      <c r="FB282" s="98"/>
      <c r="FC282" s="98"/>
      <c r="FD282" s="98"/>
      <c r="FE282" s="98"/>
      <c r="FF282" s="98"/>
      <c r="FG282" s="98"/>
      <c r="FH282" s="98"/>
      <c r="FI282" s="98"/>
      <c r="FJ282" s="98"/>
      <c r="FK282" s="98"/>
      <c r="FL282" s="98"/>
      <c r="FM282" s="98"/>
      <c r="FN282" s="98"/>
      <c r="FO282" s="98"/>
      <c r="FP282" s="98"/>
      <c r="FQ282" s="98"/>
      <c r="FR282" s="98"/>
      <c r="FS282" s="98"/>
      <c r="FT282" s="98"/>
      <c r="FU282" s="98"/>
    </row>
    <row r="283" spans="10:177" s="1" customFormat="1" ht="15.75"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  <c r="DQ283" s="98"/>
      <c r="DR283" s="98"/>
      <c r="DS283" s="98"/>
      <c r="DT283" s="98"/>
      <c r="DU283" s="98"/>
      <c r="DV283" s="98"/>
      <c r="DW283" s="98"/>
      <c r="DX283" s="98"/>
      <c r="DY283" s="98"/>
      <c r="DZ283" s="98"/>
      <c r="EA283" s="98"/>
      <c r="EB283" s="98"/>
      <c r="EC283" s="98"/>
      <c r="ED283" s="98"/>
      <c r="EE283" s="98"/>
      <c r="EF283" s="98"/>
      <c r="EG283" s="98"/>
      <c r="EH283" s="98"/>
      <c r="EI283" s="98"/>
      <c r="EJ283" s="98"/>
      <c r="EK283" s="98"/>
      <c r="EL283" s="98"/>
      <c r="EM283" s="98"/>
      <c r="EN283" s="98"/>
      <c r="EO283" s="98"/>
      <c r="EP283" s="98"/>
      <c r="EQ283" s="98"/>
      <c r="ER283" s="98"/>
      <c r="ES283" s="98"/>
      <c r="ET283" s="98"/>
      <c r="EU283" s="98"/>
      <c r="EV283" s="98"/>
      <c r="EW283" s="98"/>
      <c r="EX283" s="98"/>
      <c r="EY283" s="98"/>
      <c r="EZ283" s="98"/>
      <c r="FA283" s="98"/>
      <c r="FB283" s="98"/>
      <c r="FC283" s="98"/>
      <c r="FD283" s="98"/>
      <c r="FE283" s="98"/>
      <c r="FF283" s="98"/>
      <c r="FG283" s="98"/>
      <c r="FH283" s="98"/>
      <c r="FI283" s="98"/>
      <c r="FJ283" s="98"/>
      <c r="FK283" s="98"/>
      <c r="FL283" s="98"/>
      <c r="FM283" s="98"/>
      <c r="FN283" s="98"/>
      <c r="FO283" s="98"/>
      <c r="FP283" s="98"/>
      <c r="FQ283" s="98"/>
      <c r="FR283" s="98"/>
      <c r="FS283" s="98"/>
      <c r="FT283" s="98"/>
      <c r="FU283" s="98"/>
    </row>
    <row r="284" spans="10:177" s="1" customFormat="1" ht="15.75"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  <c r="DT284" s="98"/>
      <c r="DU284" s="98"/>
      <c r="DV284" s="98"/>
      <c r="DW284" s="98"/>
      <c r="DX284" s="98"/>
      <c r="DY284" s="98"/>
      <c r="DZ284" s="98"/>
      <c r="EA284" s="98"/>
      <c r="EB284" s="98"/>
      <c r="EC284" s="98"/>
      <c r="ED284" s="98"/>
      <c r="EE284" s="98"/>
      <c r="EF284" s="98"/>
      <c r="EG284" s="98"/>
      <c r="EH284" s="98"/>
      <c r="EI284" s="98"/>
      <c r="EJ284" s="98"/>
      <c r="EK284" s="98"/>
      <c r="EL284" s="98"/>
      <c r="EM284" s="98"/>
      <c r="EN284" s="98"/>
      <c r="EO284" s="98"/>
      <c r="EP284" s="98"/>
      <c r="EQ284" s="98"/>
      <c r="ER284" s="98"/>
      <c r="ES284" s="98"/>
      <c r="ET284" s="98"/>
      <c r="EU284" s="98"/>
      <c r="EV284" s="98"/>
      <c r="EW284" s="98"/>
      <c r="EX284" s="98"/>
      <c r="EY284" s="98"/>
      <c r="EZ284" s="98"/>
      <c r="FA284" s="98"/>
      <c r="FB284" s="98"/>
      <c r="FC284" s="98"/>
      <c r="FD284" s="98"/>
      <c r="FE284" s="98"/>
      <c r="FF284" s="98"/>
      <c r="FG284" s="98"/>
      <c r="FH284" s="98"/>
      <c r="FI284" s="98"/>
      <c r="FJ284" s="98"/>
      <c r="FK284" s="98"/>
      <c r="FL284" s="98"/>
      <c r="FM284" s="98"/>
      <c r="FN284" s="98"/>
      <c r="FO284" s="98"/>
      <c r="FP284" s="98"/>
      <c r="FQ284" s="98"/>
      <c r="FR284" s="98"/>
      <c r="FS284" s="98"/>
      <c r="FT284" s="98"/>
      <c r="FU284" s="98"/>
    </row>
    <row r="285" spans="10:177" s="1" customFormat="1" ht="15.75"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  <c r="EI285" s="98"/>
      <c r="EJ285" s="98"/>
      <c r="EK285" s="98"/>
      <c r="EL285" s="98"/>
      <c r="EM285" s="98"/>
      <c r="EN285" s="98"/>
      <c r="EO285" s="98"/>
      <c r="EP285" s="98"/>
      <c r="EQ285" s="98"/>
      <c r="ER285" s="98"/>
      <c r="ES285" s="98"/>
      <c r="ET285" s="98"/>
      <c r="EU285" s="98"/>
      <c r="EV285" s="98"/>
      <c r="EW285" s="98"/>
      <c r="EX285" s="98"/>
      <c r="EY285" s="98"/>
      <c r="EZ285" s="98"/>
      <c r="FA285" s="98"/>
      <c r="FB285" s="98"/>
      <c r="FC285" s="98"/>
      <c r="FD285" s="98"/>
      <c r="FE285" s="98"/>
      <c r="FF285" s="98"/>
      <c r="FG285" s="98"/>
      <c r="FH285" s="98"/>
      <c r="FI285" s="98"/>
      <c r="FJ285" s="98"/>
      <c r="FK285" s="98"/>
      <c r="FL285" s="98"/>
      <c r="FM285" s="98"/>
      <c r="FN285" s="98"/>
      <c r="FO285" s="98"/>
      <c r="FP285" s="98"/>
      <c r="FQ285" s="98"/>
      <c r="FR285" s="98"/>
      <c r="FS285" s="98"/>
      <c r="FT285" s="98"/>
      <c r="FU285" s="98"/>
    </row>
    <row r="286" spans="10:177" s="1" customFormat="1" ht="15.75"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98"/>
      <c r="DN286" s="98"/>
      <c r="DO286" s="98"/>
      <c r="DP286" s="98"/>
      <c r="DQ286" s="98"/>
      <c r="DR286" s="98"/>
      <c r="DS286" s="98"/>
      <c r="DT286" s="98"/>
      <c r="DU286" s="98"/>
      <c r="DV286" s="98"/>
      <c r="DW286" s="98"/>
      <c r="DX286" s="98"/>
      <c r="DY286" s="98"/>
      <c r="DZ286" s="98"/>
      <c r="EA286" s="98"/>
      <c r="EB286" s="98"/>
      <c r="EC286" s="98"/>
      <c r="ED286" s="98"/>
      <c r="EE286" s="98"/>
      <c r="EF286" s="98"/>
      <c r="EG286" s="98"/>
      <c r="EH286" s="98"/>
      <c r="EI286" s="98"/>
      <c r="EJ286" s="98"/>
      <c r="EK286" s="98"/>
      <c r="EL286" s="98"/>
      <c r="EM286" s="98"/>
      <c r="EN286" s="98"/>
      <c r="EO286" s="98"/>
      <c r="EP286" s="98"/>
      <c r="EQ286" s="98"/>
      <c r="ER286" s="98"/>
      <c r="ES286" s="98"/>
      <c r="ET286" s="98"/>
      <c r="EU286" s="98"/>
      <c r="EV286" s="98"/>
      <c r="EW286" s="98"/>
      <c r="EX286" s="98"/>
      <c r="EY286" s="98"/>
      <c r="EZ286" s="98"/>
      <c r="FA286" s="98"/>
      <c r="FB286" s="98"/>
      <c r="FC286" s="98"/>
      <c r="FD286" s="98"/>
      <c r="FE286" s="98"/>
      <c r="FF286" s="98"/>
      <c r="FG286" s="98"/>
      <c r="FH286" s="98"/>
      <c r="FI286" s="98"/>
      <c r="FJ286" s="98"/>
      <c r="FK286" s="98"/>
      <c r="FL286" s="98"/>
      <c r="FM286" s="98"/>
      <c r="FN286" s="98"/>
      <c r="FO286" s="98"/>
      <c r="FP286" s="98"/>
      <c r="FQ286" s="98"/>
      <c r="FR286" s="98"/>
      <c r="FS286" s="98"/>
      <c r="FT286" s="98"/>
      <c r="FU286" s="98"/>
    </row>
    <row r="287" spans="10:177" s="1" customFormat="1" ht="15.75"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  <c r="DG287" s="98"/>
      <c r="DH287" s="98"/>
      <c r="DI287" s="98"/>
      <c r="DJ287" s="98"/>
      <c r="DK287" s="98"/>
      <c r="DL287" s="98"/>
      <c r="DM287" s="98"/>
      <c r="DN287" s="98"/>
      <c r="DO287" s="98"/>
      <c r="DP287" s="98"/>
      <c r="DQ287" s="98"/>
      <c r="DR287" s="98"/>
      <c r="DS287" s="98"/>
      <c r="DT287" s="98"/>
      <c r="DU287" s="98"/>
      <c r="DV287" s="98"/>
      <c r="DW287" s="98"/>
      <c r="DX287" s="98"/>
      <c r="DY287" s="98"/>
      <c r="DZ287" s="98"/>
      <c r="EA287" s="98"/>
      <c r="EB287" s="98"/>
      <c r="EC287" s="98"/>
      <c r="ED287" s="98"/>
      <c r="EE287" s="98"/>
      <c r="EF287" s="98"/>
      <c r="EG287" s="98"/>
      <c r="EH287" s="98"/>
      <c r="EI287" s="98"/>
      <c r="EJ287" s="98"/>
      <c r="EK287" s="98"/>
      <c r="EL287" s="98"/>
      <c r="EM287" s="98"/>
      <c r="EN287" s="98"/>
      <c r="EO287" s="98"/>
      <c r="EP287" s="98"/>
      <c r="EQ287" s="98"/>
      <c r="ER287" s="98"/>
      <c r="ES287" s="98"/>
      <c r="ET287" s="98"/>
      <c r="EU287" s="98"/>
      <c r="EV287" s="98"/>
      <c r="EW287" s="98"/>
      <c r="EX287" s="98"/>
      <c r="EY287" s="98"/>
      <c r="EZ287" s="98"/>
      <c r="FA287" s="98"/>
      <c r="FB287" s="98"/>
      <c r="FC287" s="98"/>
      <c r="FD287" s="98"/>
      <c r="FE287" s="98"/>
      <c r="FF287" s="98"/>
      <c r="FG287" s="98"/>
      <c r="FH287" s="98"/>
      <c r="FI287" s="98"/>
      <c r="FJ287" s="98"/>
      <c r="FK287" s="98"/>
      <c r="FL287" s="98"/>
      <c r="FM287" s="98"/>
      <c r="FN287" s="98"/>
      <c r="FO287" s="98"/>
      <c r="FP287" s="98"/>
      <c r="FQ287" s="98"/>
      <c r="FR287" s="98"/>
      <c r="FS287" s="98"/>
      <c r="FT287" s="98"/>
      <c r="FU287" s="98"/>
    </row>
    <row r="288" spans="10:177" s="1" customFormat="1" ht="15.75"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98"/>
      <c r="DL288" s="98"/>
      <c r="DM288" s="98"/>
      <c r="DN288" s="98"/>
      <c r="DO288" s="98"/>
      <c r="DP288" s="98"/>
      <c r="DQ288" s="98"/>
      <c r="DR288" s="98"/>
      <c r="DS288" s="98"/>
      <c r="DT288" s="98"/>
      <c r="DU288" s="98"/>
      <c r="DV288" s="98"/>
      <c r="DW288" s="98"/>
      <c r="DX288" s="98"/>
      <c r="DY288" s="98"/>
      <c r="DZ288" s="98"/>
      <c r="EA288" s="98"/>
      <c r="EB288" s="98"/>
      <c r="EC288" s="98"/>
      <c r="ED288" s="98"/>
      <c r="EE288" s="98"/>
      <c r="EF288" s="98"/>
      <c r="EG288" s="98"/>
      <c r="EH288" s="98"/>
      <c r="EI288" s="98"/>
      <c r="EJ288" s="98"/>
      <c r="EK288" s="98"/>
      <c r="EL288" s="98"/>
      <c r="EM288" s="98"/>
      <c r="EN288" s="98"/>
      <c r="EO288" s="98"/>
      <c r="EP288" s="98"/>
      <c r="EQ288" s="98"/>
      <c r="ER288" s="98"/>
      <c r="ES288" s="98"/>
      <c r="ET288" s="98"/>
      <c r="EU288" s="98"/>
      <c r="EV288" s="98"/>
      <c r="EW288" s="98"/>
      <c r="EX288" s="98"/>
      <c r="EY288" s="98"/>
      <c r="EZ288" s="98"/>
      <c r="FA288" s="98"/>
      <c r="FB288" s="98"/>
      <c r="FC288" s="98"/>
      <c r="FD288" s="98"/>
      <c r="FE288" s="98"/>
      <c r="FF288" s="98"/>
      <c r="FG288" s="98"/>
      <c r="FH288" s="98"/>
      <c r="FI288" s="98"/>
      <c r="FJ288" s="98"/>
      <c r="FK288" s="98"/>
      <c r="FL288" s="98"/>
      <c r="FM288" s="98"/>
      <c r="FN288" s="98"/>
      <c r="FO288" s="98"/>
      <c r="FP288" s="98"/>
      <c r="FQ288" s="98"/>
      <c r="FR288" s="98"/>
      <c r="FS288" s="98"/>
      <c r="FT288" s="98"/>
      <c r="FU288" s="98"/>
    </row>
    <row r="289" spans="10:177" s="1" customFormat="1" ht="15.75"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  <c r="DG289" s="98"/>
      <c r="DH289" s="98"/>
      <c r="DI289" s="98"/>
      <c r="DJ289" s="98"/>
      <c r="DK289" s="98"/>
      <c r="DL289" s="98"/>
      <c r="DM289" s="98"/>
      <c r="DN289" s="98"/>
      <c r="DO289" s="98"/>
      <c r="DP289" s="98"/>
      <c r="DQ289" s="98"/>
      <c r="DR289" s="98"/>
      <c r="DS289" s="98"/>
      <c r="DT289" s="98"/>
      <c r="DU289" s="98"/>
      <c r="DV289" s="98"/>
      <c r="DW289" s="98"/>
      <c r="DX289" s="98"/>
      <c r="DY289" s="98"/>
      <c r="DZ289" s="98"/>
      <c r="EA289" s="98"/>
      <c r="EB289" s="98"/>
      <c r="EC289" s="98"/>
      <c r="ED289" s="98"/>
      <c r="EE289" s="98"/>
      <c r="EF289" s="98"/>
      <c r="EG289" s="98"/>
      <c r="EH289" s="98"/>
      <c r="EI289" s="98"/>
      <c r="EJ289" s="98"/>
      <c r="EK289" s="98"/>
      <c r="EL289" s="98"/>
      <c r="EM289" s="98"/>
      <c r="EN289" s="98"/>
      <c r="EO289" s="98"/>
      <c r="EP289" s="98"/>
      <c r="EQ289" s="98"/>
      <c r="ER289" s="98"/>
      <c r="ES289" s="98"/>
      <c r="ET289" s="98"/>
      <c r="EU289" s="98"/>
      <c r="EV289" s="98"/>
      <c r="EW289" s="98"/>
      <c r="EX289" s="98"/>
      <c r="EY289" s="98"/>
      <c r="EZ289" s="98"/>
      <c r="FA289" s="98"/>
      <c r="FB289" s="98"/>
      <c r="FC289" s="98"/>
      <c r="FD289" s="98"/>
      <c r="FE289" s="98"/>
      <c r="FF289" s="98"/>
      <c r="FG289" s="98"/>
      <c r="FH289" s="98"/>
      <c r="FI289" s="98"/>
      <c r="FJ289" s="98"/>
      <c r="FK289" s="98"/>
      <c r="FL289" s="98"/>
      <c r="FM289" s="98"/>
      <c r="FN289" s="98"/>
      <c r="FO289" s="98"/>
      <c r="FP289" s="98"/>
      <c r="FQ289" s="98"/>
      <c r="FR289" s="98"/>
      <c r="FS289" s="98"/>
      <c r="FT289" s="98"/>
      <c r="FU289" s="98"/>
    </row>
    <row r="290" spans="10:177" s="1" customFormat="1" ht="15.75"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  <c r="DG290" s="98"/>
      <c r="DH290" s="98"/>
      <c r="DI290" s="98"/>
      <c r="DJ290" s="98"/>
      <c r="DK290" s="98"/>
      <c r="DL290" s="98"/>
      <c r="DM290" s="98"/>
      <c r="DN290" s="98"/>
      <c r="DO290" s="98"/>
      <c r="DP290" s="98"/>
      <c r="DQ290" s="98"/>
      <c r="DR290" s="98"/>
      <c r="DS290" s="98"/>
      <c r="DT290" s="98"/>
      <c r="DU290" s="98"/>
      <c r="DV290" s="98"/>
      <c r="DW290" s="98"/>
      <c r="DX290" s="98"/>
      <c r="DY290" s="98"/>
      <c r="DZ290" s="98"/>
      <c r="EA290" s="98"/>
      <c r="EB290" s="98"/>
      <c r="EC290" s="98"/>
      <c r="ED290" s="98"/>
      <c r="EE290" s="98"/>
      <c r="EF290" s="98"/>
      <c r="EG290" s="98"/>
      <c r="EH290" s="98"/>
      <c r="EI290" s="98"/>
      <c r="EJ290" s="98"/>
      <c r="EK290" s="98"/>
      <c r="EL290" s="98"/>
      <c r="EM290" s="98"/>
      <c r="EN290" s="98"/>
      <c r="EO290" s="98"/>
      <c r="EP290" s="98"/>
      <c r="EQ290" s="98"/>
      <c r="ER290" s="98"/>
      <c r="ES290" s="98"/>
      <c r="ET290" s="98"/>
      <c r="EU290" s="98"/>
      <c r="EV290" s="98"/>
      <c r="EW290" s="98"/>
      <c r="EX290" s="98"/>
      <c r="EY290" s="98"/>
      <c r="EZ290" s="98"/>
      <c r="FA290" s="98"/>
      <c r="FB290" s="98"/>
      <c r="FC290" s="98"/>
      <c r="FD290" s="98"/>
      <c r="FE290" s="98"/>
      <c r="FF290" s="98"/>
      <c r="FG290" s="98"/>
      <c r="FH290" s="98"/>
      <c r="FI290" s="98"/>
      <c r="FJ290" s="98"/>
      <c r="FK290" s="98"/>
      <c r="FL290" s="98"/>
      <c r="FM290" s="98"/>
      <c r="FN290" s="98"/>
      <c r="FO290" s="98"/>
      <c r="FP290" s="98"/>
      <c r="FQ290" s="98"/>
      <c r="FR290" s="98"/>
      <c r="FS290" s="98"/>
      <c r="FT290" s="98"/>
      <c r="FU290" s="98"/>
    </row>
    <row r="291" spans="10:177" s="1" customFormat="1" ht="15.75"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  <c r="DG291" s="98"/>
      <c r="DH291" s="98"/>
      <c r="DI291" s="98"/>
      <c r="DJ291" s="98"/>
      <c r="DK291" s="98"/>
      <c r="DL291" s="98"/>
      <c r="DM291" s="98"/>
      <c r="DN291" s="98"/>
      <c r="DO291" s="98"/>
      <c r="DP291" s="98"/>
      <c r="DQ291" s="98"/>
      <c r="DR291" s="98"/>
      <c r="DS291" s="98"/>
      <c r="DT291" s="98"/>
      <c r="DU291" s="98"/>
      <c r="DV291" s="98"/>
      <c r="DW291" s="98"/>
      <c r="DX291" s="98"/>
      <c r="DY291" s="98"/>
      <c r="DZ291" s="98"/>
      <c r="EA291" s="98"/>
      <c r="EB291" s="98"/>
      <c r="EC291" s="98"/>
      <c r="ED291" s="98"/>
      <c r="EE291" s="98"/>
      <c r="EF291" s="98"/>
      <c r="EG291" s="98"/>
      <c r="EH291" s="98"/>
      <c r="EI291" s="98"/>
      <c r="EJ291" s="98"/>
      <c r="EK291" s="98"/>
      <c r="EL291" s="98"/>
      <c r="EM291" s="98"/>
      <c r="EN291" s="98"/>
      <c r="EO291" s="98"/>
      <c r="EP291" s="98"/>
      <c r="EQ291" s="98"/>
      <c r="ER291" s="98"/>
      <c r="ES291" s="98"/>
      <c r="ET291" s="98"/>
      <c r="EU291" s="98"/>
      <c r="EV291" s="98"/>
      <c r="EW291" s="98"/>
      <c r="EX291" s="98"/>
      <c r="EY291" s="98"/>
      <c r="EZ291" s="98"/>
      <c r="FA291" s="98"/>
      <c r="FB291" s="98"/>
      <c r="FC291" s="98"/>
      <c r="FD291" s="98"/>
      <c r="FE291" s="98"/>
      <c r="FF291" s="98"/>
      <c r="FG291" s="98"/>
      <c r="FH291" s="98"/>
      <c r="FI291" s="98"/>
      <c r="FJ291" s="98"/>
      <c r="FK291" s="98"/>
      <c r="FL291" s="98"/>
      <c r="FM291" s="98"/>
      <c r="FN291" s="98"/>
      <c r="FO291" s="98"/>
      <c r="FP291" s="98"/>
      <c r="FQ291" s="98"/>
      <c r="FR291" s="98"/>
      <c r="FS291" s="98"/>
      <c r="FT291" s="98"/>
      <c r="FU291" s="98"/>
    </row>
    <row r="292" spans="10:177" s="1" customFormat="1" ht="15.75"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  <c r="EP292" s="98"/>
      <c r="EQ292" s="98"/>
      <c r="ER292" s="98"/>
      <c r="ES292" s="98"/>
      <c r="ET292" s="98"/>
      <c r="EU292" s="98"/>
      <c r="EV292" s="98"/>
      <c r="EW292" s="98"/>
      <c r="EX292" s="98"/>
      <c r="EY292" s="98"/>
      <c r="EZ292" s="98"/>
      <c r="FA292" s="98"/>
      <c r="FB292" s="98"/>
      <c r="FC292" s="98"/>
      <c r="FD292" s="98"/>
      <c r="FE292" s="98"/>
      <c r="FF292" s="98"/>
      <c r="FG292" s="98"/>
      <c r="FH292" s="98"/>
      <c r="FI292" s="98"/>
      <c r="FJ292" s="98"/>
      <c r="FK292" s="98"/>
      <c r="FL292" s="98"/>
      <c r="FM292" s="98"/>
      <c r="FN292" s="98"/>
      <c r="FO292" s="98"/>
      <c r="FP292" s="98"/>
      <c r="FQ292" s="98"/>
      <c r="FR292" s="98"/>
      <c r="FS292" s="98"/>
      <c r="FT292" s="98"/>
      <c r="FU292" s="98"/>
    </row>
    <row r="293" spans="10:177" s="1" customFormat="1" ht="15.75"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8"/>
      <c r="FH293" s="98"/>
      <c r="FI293" s="98"/>
      <c r="FJ293" s="98"/>
      <c r="FK293" s="98"/>
      <c r="FL293" s="98"/>
      <c r="FM293" s="98"/>
      <c r="FN293" s="98"/>
      <c r="FO293" s="98"/>
      <c r="FP293" s="98"/>
      <c r="FQ293" s="98"/>
      <c r="FR293" s="98"/>
      <c r="FS293" s="98"/>
      <c r="FT293" s="98"/>
      <c r="FU293" s="98"/>
    </row>
    <row r="294" spans="10:177" s="1" customFormat="1" ht="15.75"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  <c r="EY294" s="98"/>
      <c r="EZ294" s="98"/>
      <c r="FA294" s="98"/>
      <c r="FB294" s="98"/>
      <c r="FC294" s="98"/>
      <c r="FD294" s="98"/>
      <c r="FE294" s="98"/>
      <c r="FF294" s="98"/>
      <c r="FG294" s="98"/>
      <c r="FH294" s="98"/>
      <c r="FI294" s="98"/>
      <c r="FJ294" s="98"/>
      <c r="FK294" s="98"/>
      <c r="FL294" s="98"/>
      <c r="FM294" s="98"/>
      <c r="FN294" s="98"/>
      <c r="FO294" s="98"/>
      <c r="FP294" s="98"/>
      <c r="FQ294" s="98"/>
      <c r="FR294" s="98"/>
      <c r="FS294" s="98"/>
      <c r="FT294" s="98"/>
      <c r="FU294" s="98"/>
    </row>
    <row r="295" spans="10:177" s="1" customFormat="1" ht="15.75"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  <c r="DG295" s="98"/>
      <c r="DH295" s="98"/>
      <c r="DI295" s="98"/>
      <c r="DJ295" s="98"/>
      <c r="DK295" s="98"/>
      <c r="DL295" s="98"/>
      <c r="DM295" s="98"/>
      <c r="DN295" s="98"/>
      <c r="DO295" s="98"/>
      <c r="DP295" s="98"/>
      <c r="DQ295" s="98"/>
      <c r="DR295" s="98"/>
      <c r="DS295" s="98"/>
      <c r="DT295" s="98"/>
      <c r="DU295" s="98"/>
      <c r="DV295" s="98"/>
      <c r="DW295" s="98"/>
      <c r="DX295" s="98"/>
      <c r="DY295" s="98"/>
      <c r="DZ295" s="98"/>
      <c r="EA295" s="98"/>
      <c r="EB295" s="98"/>
      <c r="EC295" s="98"/>
      <c r="ED295" s="98"/>
      <c r="EE295" s="98"/>
      <c r="EF295" s="98"/>
      <c r="EG295" s="98"/>
      <c r="EH295" s="98"/>
      <c r="EI295" s="98"/>
      <c r="EJ295" s="98"/>
      <c r="EK295" s="98"/>
      <c r="EL295" s="98"/>
      <c r="EM295" s="98"/>
      <c r="EN295" s="98"/>
      <c r="EO295" s="98"/>
      <c r="EP295" s="98"/>
      <c r="EQ295" s="98"/>
      <c r="ER295" s="98"/>
      <c r="ES295" s="98"/>
      <c r="ET295" s="98"/>
      <c r="EU295" s="98"/>
      <c r="EV295" s="98"/>
      <c r="EW295" s="98"/>
      <c r="EX295" s="98"/>
      <c r="EY295" s="98"/>
      <c r="EZ295" s="98"/>
      <c r="FA295" s="98"/>
      <c r="FB295" s="98"/>
      <c r="FC295" s="98"/>
      <c r="FD295" s="98"/>
      <c r="FE295" s="98"/>
      <c r="FF295" s="98"/>
      <c r="FG295" s="98"/>
      <c r="FH295" s="98"/>
      <c r="FI295" s="98"/>
      <c r="FJ295" s="98"/>
      <c r="FK295" s="98"/>
      <c r="FL295" s="98"/>
      <c r="FM295" s="98"/>
      <c r="FN295" s="98"/>
      <c r="FO295" s="98"/>
      <c r="FP295" s="98"/>
      <c r="FQ295" s="98"/>
      <c r="FR295" s="98"/>
      <c r="FS295" s="98"/>
      <c r="FT295" s="98"/>
      <c r="FU295" s="98"/>
    </row>
    <row r="296" spans="10:177" s="1" customFormat="1" ht="15.75"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  <c r="DG296" s="98"/>
      <c r="DH296" s="98"/>
      <c r="DI296" s="98"/>
      <c r="DJ296" s="98"/>
      <c r="DK296" s="98"/>
      <c r="DL296" s="98"/>
      <c r="DM296" s="98"/>
      <c r="DN296" s="98"/>
      <c r="DO296" s="98"/>
      <c r="DP296" s="98"/>
      <c r="DQ296" s="98"/>
      <c r="DR296" s="98"/>
      <c r="DS296" s="98"/>
      <c r="DT296" s="98"/>
      <c r="DU296" s="98"/>
      <c r="DV296" s="98"/>
      <c r="DW296" s="98"/>
      <c r="DX296" s="98"/>
      <c r="DY296" s="98"/>
      <c r="DZ296" s="98"/>
      <c r="EA296" s="98"/>
      <c r="EB296" s="98"/>
      <c r="EC296" s="98"/>
      <c r="ED296" s="98"/>
      <c r="EE296" s="98"/>
      <c r="EF296" s="98"/>
      <c r="EG296" s="98"/>
      <c r="EH296" s="98"/>
      <c r="EI296" s="98"/>
      <c r="EJ296" s="98"/>
      <c r="EK296" s="98"/>
      <c r="EL296" s="98"/>
      <c r="EM296" s="98"/>
      <c r="EN296" s="98"/>
      <c r="EO296" s="98"/>
      <c r="EP296" s="98"/>
      <c r="EQ296" s="98"/>
      <c r="ER296" s="98"/>
      <c r="ES296" s="98"/>
      <c r="ET296" s="98"/>
      <c r="EU296" s="98"/>
      <c r="EV296" s="98"/>
      <c r="EW296" s="98"/>
      <c r="EX296" s="98"/>
      <c r="EY296" s="98"/>
      <c r="EZ296" s="98"/>
      <c r="FA296" s="98"/>
      <c r="FB296" s="98"/>
      <c r="FC296" s="98"/>
      <c r="FD296" s="98"/>
      <c r="FE296" s="98"/>
      <c r="FF296" s="98"/>
      <c r="FG296" s="98"/>
      <c r="FH296" s="98"/>
      <c r="FI296" s="98"/>
      <c r="FJ296" s="98"/>
      <c r="FK296" s="98"/>
      <c r="FL296" s="98"/>
      <c r="FM296" s="98"/>
      <c r="FN296" s="98"/>
      <c r="FO296" s="98"/>
      <c r="FP296" s="98"/>
      <c r="FQ296" s="98"/>
      <c r="FR296" s="98"/>
      <c r="FS296" s="98"/>
      <c r="FT296" s="98"/>
      <c r="FU296" s="98"/>
    </row>
    <row r="297" spans="10:177" s="1" customFormat="1" ht="15.75"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  <c r="DG297" s="98"/>
      <c r="DH297" s="98"/>
      <c r="DI297" s="98"/>
      <c r="DJ297" s="98"/>
      <c r="DK297" s="98"/>
      <c r="DL297" s="98"/>
      <c r="DM297" s="98"/>
      <c r="DN297" s="98"/>
      <c r="DO297" s="98"/>
      <c r="DP297" s="98"/>
      <c r="DQ297" s="98"/>
      <c r="DR297" s="98"/>
      <c r="DS297" s="98"/>
      <c r="DT297" s="98"/>
      <c r="DU297" s="98"/>
      <c r="DV297" s="98"/>
      <c r="DW297" s="98"/>
      <c r="DX297" s="98"/>
      <c r="DY297" s="98"/>
      <c r="DZ297" s="98"/>
      <c r="EA297" s="98"/>
      <c r="EB297" s="98"/>
      <c r="EC297" s="98"/>
      <c r="ED297" s="98"/>
      <c r="EE297" s="98"/>
      <c r="EF297" s="98"/>
      <c r="EG297" s="98"/>
      <c r="EH297" s="98"/>
      <c r="EI297" s="98"/>
      <c r="EJ297" s="98"/>
      <c r="EK297" s="98"/>
      <c r="EL297" s="98"/>
      <c r="EM297" s="98"/>
      <c r="EN297" s="98"/>
      <c r="EO297" s="98"/>
      <c r="EP297" s="98"/>
      <c r="EQ297" s="98"/>
      <c r="ER297" s="98"/>
      <c r="ES297" s="98"/>
      <c r="ET297" s="98"/>
      <c r="EU297" s="98"/>
      <c r="EV297" s="98"/>
      <c r="EW297" s="98"/>
      <c r="EX297" s="98"/>
      <c r="EY297" s="98"/>
      <c r="EZ297" s="98"/>
      <c r="FA297" s="98"/>
      <c r="FB297" s="98"/>
      <c r="FC297" s="98"/>
      <c r="FD297" s="98"/>
      <c r="FE297" s="98"/>
      <c r="FF297" s="98"/>
      <c r="FG297" s="98"/>
      <c r="FH297" s="98"/>
      <c r="FI297" s="98"/>
      <c r="FJ297" s="98"/>
      <c r="FK297" s="98"/>
      <c r="FL297" s="98"/>
      <c r="FM297" s="98"/>
      <c r="FN297" s="98"/>
      <c r="FO297" s="98"/>
      <c r="FP297" s="98"/>
      <c r="FQ297" s="98"/>
      <c r="FR297" s="98"/>
      <c r="FS297" s="98"/>
      <c r="FT297" s="98"/>
      <c r="FU297" s="98"/>
    </row>
    <row r="298" spans="10:177" s="1" customFormat="1" ht="15.75"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  <c r="EI298" s="98"/>
      <c r="EJ298" s="98"/>
      <c r="EK298" s="98"/>
      <c r="EL298" s="98"/>
      <c r="EM298" s="98"/>
      <c r="EN298" s="98"/>
      <c r="EO298" s="98"/>
      <c r="EP298" s="98"/>
      <c r="EQ298" s="98"/>
      <c r="ER298" s="98"/>
      <c r="ES298" s="98"/>
      <c r="ET298" s="98"/>
      <c r="EU298" s="98"/>
      <c r="EV298" s="98"/>
      <c r="EW298" s="98"/>
      <c r="EX298" s="98"/>
      <c r="EY298" s="98"/>
      <c r="EZ298" s="98"/>
      <c r="FA298" s="98"/>
      <c r="FB298" s="98"/>
      <c r="FC298" s="98"/>
      <c r="FD298" s="98"/>
      <c r="FE298" s="98"/>
      <c r="FF298" s="98"/>
      <c r="FG298" s="98"/>
      <c r="FH298" s="98"/>
      <c r="FI298" s="98"/>
      <c r="FJ298" s="98"/>
      <c r="FK298" s="98"/>
      <c r="FL298" s="98"/>
      <c r="FM298" s="98"/>
      <c r="FN298" s="98"/>
      <c r="FO298" s="98"/>
      <c r="FP298" s="98"/>
      <c r="FQ298" s="98"/>
      <c r="FR298" s="98"/>
      <c r="FS298" s="98"/>
      <c r="FT298" s="98"/>
      <c r="FU298" s="98"/>
    </row>
    <row r="299" spans="10:177" s="1" customFormat="1" ht="15.75"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  <c r="EI299" s="98"/>
      <c r="EJ299" s="98"/>
      <c r="EK299" s="98"/>
      <c r="EL299" s="98"/>
      <c r="EM299" s="98"/>
      <c r="EN299" s="98"/>
      <c r="EO299" s="98"/>
      <c r="EP299" s="98"/>
      <c r="EQ299" s="98"/>
      <c r="ER299" s="98"/>
      <c r="ES299" s="98"/>
      <c r="ET299" s="98"/>
      <c r="EU299" s="98"/>
      <c r="EV299" s="98"/>
      <c r="EW299" s="98"/>
      <c r="EX299" s="98"/>
      <c r="EY299" s="98"/>
      <c r="EZ299" s="98"/>
      <c r="FA299" s="98"/>
      <c r="FB299" s="98"/>
      <c r="FC299" s="98"/>
      <c r="FD299" s="98"/>
      <c r="FE299" s="98"/>
      <c r="FF299" s="98"/>
      <c r="FG299" s="98"/>
      <c r="FH299" s="98"/>
      <c r="FI299" s="98"/>
      <c r="FJ299" s="98"/>
      <c r="FK299" s="98"/>
      <c r="FL299" s="98"/>
      <c r="FM299" s="98"/>
      <c r="FN299" s="98"/>
      <c r="FO299" s="98"/>
      <c r="FP299" s="98"/>
      <c r="FQ299" s="98"/>
      <c r="FR299" s="98"/>
      <c r="FS299" s="98"/>
      <c r="FT299" s="98"/>
      <c r="FU299" s="98"/>
    </row>
  </sheetData>
  <sheetProtection/>
  <mergeCells count="6">
    <mergeCell ref="A1:I1"/>
    <mergeCell ref="A2:I2"/>
    <mergeCell ref="A3:I3"/>
    <mergeCell ref="A109:I109"/>
    <mergeCell ref="A108:I108"/>
    <mergeCell ref="A107:I107"/>
  </mergeCells>
  <printOptions/>
  <pageMargins left="0" right="0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6" sqref="M46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7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16.57421875" style="0" customWidth="1"/>
    <col min="4" max="4" width="17.8515625" style="0" customWidth="1"/>
    <col min="5" max="5" width="16.28125" style="0" customWidth="1"/>
    <col min="6" max="6" width="15.28125" style="0" customWidth="1"/>
  </cols>
  <sheetData>
    <row r="1" spans="1:6" ht="12.75">
      <c r="A1" s="508" t="str">
        <f>Parâmetros!A7</f>
        <v>Município de : BARRA DO QUARAI</v>
      </c>
      <c r="B1" s="508"/>
      <c r="C1" s="508"/>
      <c r="D1" s="509"/>
      <c r="E1" s="509"/>
      <c r="F1" s="509"/>
    </row>
    <row r="2" spans="1:6" ht="12.75">
      <c r="A2" s="510" t="str">
        <f>Parâmetros!A8</f>
        <v>LEI DE DIRETRIZES ORÇAMENTÁRIAS  PARA 2020</v>
      </c>
      <c r="B2" s="510"/>
      <c r="C2" s="510"/>
      <c r="D2" s="509"/>
      <c r="E2" s="509"/>
      <c r="F2" s="509"/>
    </row>
    <row r="3" spans="1:6" ht="12.75">
      <c r="A3" s="511" t="s">
        <v>406</v>
      </c>
      <c r="B3" s="511"/>
      <c r="C3" s="511"/>
      <c r="D3" s="511"/>
      <c r="E3" s="511"/>
      <c r="F3" s="511"/>
    </row>
    <row r="4" spans="1:6" ht="12.75">
      <c r="A4" s="512" t="s">
        <v>610</v>
      </c>
      <c r="B4" s="513"/>
      <c r="C4" s="513"/>
      <c r="D4" s="513"/>
      <c r="E4" s="513"/>
      <c r="F4" s="513"/>
    </row>
    <row r="5" spans="1:6" ht="12.75">
      <c r="A5" s="113" t="s">
        <v>56</v>
      </c>
      <c r="B5" s="114">
        <v>2018</v>
      </c>
      <c r="C5" s="114">
        <f>B5+1</f>
        <v>2019</v>
      </c>
      <c r="D5" s="114">
        <f>C5+1</f>
        <v>2020</v>
      </c>
      <c r="E5" s="114">
        <f>D5+1</f>
        <v>2021</v>
      </c>
      <c r="F5" s="114">
        <f>E5+1</f>
        <v>2022</v>
      </c>
    </row>
    <row r="6" spans="1:6" ht="12.75">
      <c r="A6" s="115" t="s">
        <v>407</v>
      </c>
      <c r="B6" s="116">
        <f>Projeções!E8</f>
        <v>23833296.84</v>
      </c>
      <c r="C6" s="116">
        <f>Projeções!F8</f>
        <v>26612923.209999993</v>
      </c>
      <c r="D6" s="116">
        <f>Projeções!G8</f>
        <v>27811341.04183169</v>
      </c>
      <c r="E6" s="116">
        <f>Projeções!H8</f>
        <v>29934900.427036986</v>
      </c>
      <c r="F6" s="116">
        <f>Projeções!I8</f>
        <v>32351342.857356846</v>
      </c>
    </row>
    <row r="7" spans="1:6" ht="12.75">
      <c r="A7" s="117" t="s">
        <v>400</v>
      </c>
      <c r="B7" s="118">
        <f>B8+B9+B10+B11+B12</f>
        <v>3520949.026</v>
      </c>
      <c r="C7" s="118">
        <f>C8+C9+C10+C11+C12</f>
        <v>3863302.3740000003</v>
      </c>
      <c r="D7" s="118">
        <f>D8+D9+D10+D11+D12</f>
        <v>4013680.57125013</v>
      </c>
      <c r="E7" s="118">
        <f>E8+E9+E10+E11+E12</f>
        <v>4333427.232514851</v>
      </c>
      <c r="F7" s="118">
        <f>F8+F9+F10+F11+F12</f>
        <v>4698517.018016995</v>
      </c>
    </row>
    <row r="8" spans="1:6" ht="12.75">
      <c r="A8" s="119" t="s">
        <v>401</v>
      </c>
      <c r="B8" s="120">
        <f>Projeções!E10+Projeções!E11</f>
        <v>233074.81</v>
      </c>
      <c r="C8" s="120">
        <f>Projeções!F10+Projeções!F11</f>
        <v>199726.77</v>
      </c>
      <c r="D8" s="120">
        <f>Projeções!G10+Projeções!G11</f>
        <v>167949.07436239917</v>
      </c>
      <c r="E8" s="120">
        <f>Projeções!H10+Projeções!H11</f>
        <v>186311.50649268818</v>
      </c>
      <c r="F8" s="120">
        <f>Projeções!I10+Projeções!I11</f>
        <v>206664.7965003044</v>
      </c>
    </row>
    <row r="9" spans="1:6" ht="12.75">
      <c r="A9" s="121" t="s">
        <v>402</v>
      </c>
      <c r="B9" s="122">
        <f>Projeções!E17</f>
        <v>0</v>
      </c>
      <c r="C9" s="122">
        <f>Projeções!F17</f>
        <v>0</v>
      </c>
      <c r="D9" s="122">
        <f>Projeções!G17</f>
        <v>0</v>
      </c>
      <c r="E9" s="122">
        <f>Projeções!H17</f>
        <v>0</v>
      </c>
      <c r="F9" s="122">
        <f>Projeções!I17</f>
        <v>0</v>
      </c>
    </row>
    <row r="10" spans="1:6" ht="12.75">
      <c r="A10" s="123" t="s">
        <v>403</v>
      </c>
      <c r="B10" s="122">
        <f>Projeções!E72</f>
        <v>0</v>
      </c>
      <c r="C10" s="122">
        <f>Projeções!F72</f>
        <v>0</v>
      </c>
      <c r="D10" s="122">
        <f>Projeções!G72</f>
        <v>0</v>
      </c>
      <c r="E10" s="122">
        <f>Projeções!H72</f>
        <v>0</v>
      </c>
      <c r="F10" s="122">
        <f>Projeções!I72</f>
        <v>0</v>
      </c>
    </row>
    <row r="11" spans="1:6" ht="12.75">
      <c r="A11" s="123" t="s">
        <v>416</v>
      </c>
      <c r="B11" s="122">
        <f>Projeções!E28</f>
        <v>0</v>
      </c>
      <c r="C11" s="122">
        <f>Projeções!F28</f>
        <v>0</v>
      </c>
      <c r="D11" s="122">
        <f>Projeções!G28</f>
        <v>0</v>
      </c>
      <c r="E11" s="122">
        <f>Projeções!H28</f>
        <v>0</v>
      </c>
      <c r="F11" s="122">
        <f>Projeções!I28</f>
        <v>0</v>
      </c>
    </row>
    <row r="12" spans="1:6" ht="12.75">
      <c r="A12" s="121" t="s">
        <v>413</v>
      </c>
      <c r="B12" s="122">
        <f>-(Projeções!E100+Projeções!E101+Projeções!E102)</f>
        <v>3287874.216</v>
      </c>
      <c r="C12" s="122">
        <f>-(Projeções!F100+Projeções!F101+Projeções!F102)</f>
        <v>3663575.6040000003</v>
      </c>
      <c r="D12" s="122">
        <f>-(Projeções!G100+Projeções!G101+Projeções!G102)</f>
        <v>3845731.496887731</v>
      </c>
      <c r="E12" s="122">
        <f>-(Projeções!H100+Projeções!H101+Projeções!H102)</f>
        <v>4147115.7260221625</v>
      </c>
      <c r="F12" s="122">
        <f>-(Projeções!I100+Projeções!I101+Projeções!I102)</f>
        <v>4491852.22151669</v>
      </c>
    </row>
    <row r="13" spans="1:6" ht="12.75">
      <c r="A13" s="117" t="s">
        <v>404</v>
      </c>
      <c r="B13" s="118">
        <f>-(IF(Projeções!E63+Projeções!E101&gt;0,0,Projeções!E63+Projeções!E101))</f>
        <v>0</v>
      </c>
      <c r="C13" s="118">
        <f>-(IF(Projeções!F63+Projeções!F101&gt;0,0,Projeções!F63+Projeções!F101))</f>
        <v>153145.2740000002</v>
      </c>
      <c r="D13" s="118">
        <f>-(IF(Projeções!G63+Projeções!G101&gt;0,0,Projeções!G63+Projeções!G101))</f>
        <v>25033.009141615592</v>
      </c>
      <c r="E13" s="118">
        <f>-(IF(Projeções!H63+Projeções!H101&gt;0,0,Projeções!H63+Projeções!H101))</f>
        <v>37253.19201768655</v>
      </c>
      <c r="F13" s="118">
        <f>-(IF(Projeções!I63+Projeções!I101&gt;0,0,Projeções!I63+Projeções!I101))</f>
        <v>48134.36591591034</v>
      </c>
    </row>
    <row r="14" spans="1:6" ht="12.75">
      <c r="A14" s="115" t="s">
        <v>405</v>
      </c>
      <c r="B14" s="116">
        <f>B6-B7+B13</f>
        <v>20312347.814</v>
      </c>
      <c r="C14" s="116">
        <f>C6-C7+C13</f>
        <v>22902766.109999992</v>
      </c>
      <c r="D14" s="116">
        <f>D6-D7+D13</f>
        <v>23822693.479723178</v>
      </c>
      <c r="E14" s="116">
        <f>E6-E7+E13</f>
        <v>25638726.38653982</v>
      </c>
      <c r="F14" s="116">
        <f>F6-F7+F13</f>
        <v>27700960.20525576</v>
      </c>
    </row>
    <row r="16" ht="12.75">
      <c r="A16" s="169"/>
    </row>
    <row r="19" ht="12.75">
      <c r="B19" s="181"/>
    </row>
  </sheetData>
  <sheetProtection/>
  <mergeCells count="4">
    <mergeCell ref="A1:F1"/>
    <mergeCell ref="A2:F2"/>
    <mergeCell ref="A3:F3"/>
    <mergeCell ref="A4:F4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SheetLayoutView="100" zoomScalePageLayoutView="0" workbookViewId="0" topLeftCell="A1">
      <selection activeCell="A1" sqref="A1:E53"/>
    </sheetView>
  </sheetViews>
  <sheetFormatPr defaultColWidth="9.140625" defaultRowHeight="12.75"/>
  <cols>
    <col min="1" max="1" width="71.28125" style="0" customWidth="1"/>
    <col min="2" max="2" width="19.140625" style="0" customWidth="1"/>
    <col min="3" max="3" width="17.7109375" style="0" customWidth="1"/>
    <col min="4" max="4" width="19.7109375" style="0" customWidth="1"/>
  </cols>
  <sheetData>
    <row r="1" spans="1:4" ht="12.75">
      <c r="A1" s="517" t="str">
        <f>Parâmetros!A7</f>
        <v>Município de : BARRA DO QUARAI</v>
      </c>
      <c r="B1" s="518"/>
      <c r="C1" s="518"/>
      <c r="D1" s="518"/>
    </row>
    <row r="2" spans="1:4" ht="12.75">
      <c r="A2" s="519" t="s">
        <v>660</v>
      </c>
      <c r="B2" s="519"/>
      <c r="C2" s="519"/>
      <c r="D2" s="519"/>
    </row>
    <row r="3" spans="1:4" ht="13.5">
      <c r="A3" s="520" t="s">
        <v>669</v>
      </c>
      <c r="B3" s="521"/>
      <c r="C3" s="521"/>
      <c r="D3" s="521"/>
    </row>
    <row r="4" spans="1:4" ht="15">
      <c r="A4" s="162"/>
      <c r="B4" s="161"/>
      <c r="C4" s="161"/>
      <c r="D4" s="161"/>
    </row>
    <row r="5" spans="1:4" ht="12.75">
      <c r="A5" s="514" t="s">
        <v>491</v>
      </c>
      <c r="B5" s="516"/>
      <c r="C5" s="516"/>
      <c r="D5" s="516"/>
    </row>
    <row r="6" spans="1:4" ht="12.75">
      <c r="A6" s="515"/>
      <c r="B6" s="163">
        <f>Parâmetros!E10</f>
        <v>2020</v>
      </c>
      <c r="C6" s="163">
        <f>Parâmetros!F10</f>
        <v>2021</v>
      </c>
      <c r="D6" s="163">
        <f>Parâmetros!G10</f>
        <v>2022</v>
      </c>
    </row>
    <row r="7" spans="1:4" ht="12.75">
      <c r="A7" s="164" t="s">
        <v>488</v>
      </c>
      <c r="B7" s="168">
        <f>RCL!D14*0.54</f>
        <v>12864254.479050517</v>
      </c>
      <c r="C7" s="168">
        <f>RCL!E14*0.54</f>
        <v>13844912.248731503</v>
      </c>
      <c r="D7" s="168">
        <f>RCL!F14*0.54</f>
        <v>14958518.510838112</v>
      </c>
    </row>
    <row r="8" spans="1:4" ht="12.75">
      <c r="A8" s="165" t="s">
        <v>489</v>
      </c>
      <c r="B8" s="168">
        <f>RCL!D14*0.513</f>
        <v>12221041.75509799</v>
      </c>
      <c r="C8" s="168">
        <f>RCL!E14*0.513</f>
        <v>13152666.636294927</v>
      </c>
      <c r="D8" s="168">
        <f>RCL!F14*0.513</f>
        <v>14210592.585296206</v>
      </c>
    </row>
    <row r="9" spans="1:4" ht="12.75">
      <c r="A9" s="164" t="s">
        <v>490</v>
      </c>
      <c r="B9" s="168">
        <f>RCL!D14*0.486</f>
        <v>11577829.031145465</v>
      </c>
      <c r="C9" s="168">
        <f>RCL!E14*0.486</f>
        <v>12460421.023858352</v>
      </c>
      <c r="D9" s="168">
        <f>RCL!F14*0.486</f>
        <v>13462666.6597543</v>
      </c>
    </row>
    <row r="10" spans="1:4" ht="12.75">
      <c r="A10" s="522"/>
      <c r="B10" s="522"/>
      <c r="C10" s="522"/>
      <c r="D10" s="522"/>
    </row>
    <row r="11" spans="1:4" ht="12.75">
      <c r="A11" s="166"/>
      <c r="B11" s="167"/>
      <c r="C11" s="167"/>
      <c r="D11" s="167"/>
    </row>
    <row r="12" spans="1:4" ht="12.75">
      <c r="A12" s="166"/>
      <c r="B12" s="167"/>
      <c r="C12" s="167"/>
      <c r="D12" s="167"/>
    </row>
    <row r="13" spans="1:4" ht="12.75">
      <c r="A13" s="514" t="s">
        <v>492</v>
      </c>
      <c r="B13" s="516"/>
      <c r="C13" s="516"/>
      <c r="D13" s="516"/>
    </row>
    <row r="14" spans="1:4" ht="12.75">
      <c r="A14" s="515"/>
      <c r="B14" s="163">
        <f>Parâmetros!E10</f>
        <v>2020</v>
      </c>
      <c r="C14" s="163">
        <f>Parâmetros!F10</f>
        <v>2021</v>
      </c>
      <c r="D14" s="163">
        <f>Parâmetros!G10</f>
        <v>2022</v>
      </c>
    </row>
    <row r="15" spans="1:4" ht="12.75">
      <c r="A15" s="172" t="s">
        <v>493</v>
      </c>
      <c r="B15" s="170">
        <f>RCL!D14*0.06</f>
        <v>1429361.6087833906</v>
      </c>
      <c r="C15" s="170">
        <f>RCL!E14*0.06</f>
        <v>1538323.5831923892</v>
      </c>
      <c r="D15" s="170">
        <f>RCL!F14*0.06</f>
        <v>1662057.6123153456</v>
      </c>
    </row>
    <row r="16" spans="1:4" ht="12.75">
      <c r="A16" s="173" t="s">
        <v>494</v>
      </c>
      <c r="B16" s="168">
        <f>RCL!D14*0.057</f>
        <v>1357893.5283442212</v>
      </c>
      <c r="C16" s="168">
        <f>RCL!E14*0.057</f>
        <v>1461407.4040327698</v>
      </c>
      <c r="D16" s="168">
        <f>RCL!F14*0.057</f>
        <v>1578954.7316995785</v>
      </c>
    </row>
    <row r="17" spans="1:4" ht="12.75">
      <c r="A17" s="174" t="s">
        <v>495</v>
      </c>
      <c r="B17" s="171">
        <f>RCL!D14*0.054</f>
        <v>1286425.4479050515</v>
      </c>
      <c r="C17" s="171">
        <f>RCL!E14*0.054</f>
        <v>1384491.2248731502</v>
      </c>
      <c r="D17" s="171">
        <f>RCL!F14*0.054</f>
        <v>1495851.8510838111</v>
      </c>
    </row>
    <row r="20" spans="1:4" ht="12.75">
      <c r="A20" s="175"/>
      <c r="B20" s="182"/>
      <c r="C20" s="182"/>
      <c r="D20" s="182"/>
    </row>
    <row r="21" spans="1:4" ht="12.75">
      <c r="A21" s="182"/>
      <c r="B21" s="182"/>
      <c r="C21" s="182"/>
      <c r="D21" s="182"/>
    </row>
    <row r="22" spans="1:4" ht="12.75">
      <c r="A22" s="182"/>
      <c r="B22" s="182"/>
      <c r="C22" s="182"/>
      <c r="D22" s="182"/>
    </row>
    <row r="23" spans="1:4" ht="12.75">
      <c r="A23" s="182"/>
      <c r="B23" s="182"/>
      <c r="C23" s="182"/>
      <c r="D23" s="182"/>
    </row>
    <row r="24" spans="1:4" ht="12.75">
      <c r="A24" s="182"/>
      <c r="B24" s="182"/>
      <c r="C24" s="182"/>
      <c r="D24" s="182"/>
    </row>
    <row r="25" spans="1:4" ht="12.75">
      <c r="A25" s="182"/>
      <c r="B25" s="182"/>
      <c r="C25" s="182"/>
      <c r="D25" s="182"/>
    </row>
    <row r="26" spans="1:4" ht="12.75">
      <c r="A26" s="182"/>
      <c r="B26" s="182"/>
      <c r="C26" s="182"/>
      <c r="D26" s="182"/>
    </row>
    <row r="27" spans="1:4" ht="12.75">
      <c r="A27" s="182"/>
      <c r="B27" s="182"/>
      <c r="C27" s="182"/>
      <c r="D27" s="182"/>
    </row>
    <row r="28" spans="1:4" ht="12.75">
      <c r="A28" s="182"/>
      <c r="B28" s="182"/>
      <c r="C28" s="182"/>
      <c r="D28" s="182"/>
    </row>
    <row r="29" spans="1:4" ht="12.75">
      <c r="A29" s="182"/>
      <c r="B29" s="182"/>
      <c r="C29" s="182"/>
      <c r="D29" s="182"/>
    </row>
    <row r="30" spans="1:4" ht="12.75">
      <c r="A30" s="182"/>
      <c r="B30" s="182"/>
      <c r="C30" s="182"/>
      <c r="D30" s="182"/>
    </row>
    <row r="31" spans="1:4" ht="12.75">
      <c r="A31" s="182"/>
      <c r="B31" s="182"/>
      <c r="C31" s="182"/>
      <c r="D31" s="182"/>
    </row>
    <row r="32" spans="1:4" ht="12.75">
      <c r="A32" s="182"/>
      <c r="B32" s="182"/>
      <c r="C32" s="182"/>
      <c r="D32" s="182"/>
    </row>
    <row r="33" spans="1:4" ht="12.75">
      <c r="A33" s="182"/>
      <c r="B33" s="182"/>
      <c r="C33" s="182"/>
      <c r="D33" s="182"/>
    </row>
    <row r="34" spans="1:4" ht="12.75">
      <c r="A34" s="182"/>
      <c r="B34" s="182"/>
      <c r="C34" s="182"/>
      <c r="D34" s="182"/>
    </row>
    <row r="35" spans="1:4" ht="0.75" customHeight="1">
      <c r="A35" s="182"/>
      <c r="B35" s="182"/>
      <c r="C35" s="182"/>
      <c r="D35" s="182"/>
    </row>
    <row r="36" spans="1:4" ht="12.75" customHeight="1" hidden="1">
      <c r="A36" s="182"/>
      <c r="B36" s="182"/>
      <c r="C36" s="182"/>
      <c r="D36" s="182"/>
    </row>
    <row r="37" spans="1:4" ht="12.75" customHeight="1" hidden="1">
      <c r="A37" s="182"/>
      <c r="B37" s="182"/>
      <c r="C37" s="182"/>
      <c r="D37" s="182"/>
    </row>
    <row r="38" spans="1:4" ht="12.75" customHeight="1" hidden="1">
      <c r="A38" s="182"/>
      <c r="B38" s="182"/>
      <c r="C38" s="182"/>
      <c r="D38" s="182"/>
    </row>
    <row r="39" spans="1:4" ht="12.75" customHeight="1" hidden="1">
      <c r="A39" s="182"/>
      <c r="B39" s="182"/>
      <c r="C39" s="182"/>
      <c r="D39" s="182"/>
    </row>
    <row r="40" spans="1:4" ht="12.75" customHeight="1" hidden="1">
      <c r="A40" s="182"/>
      <c r="B40" s="182"/>
      <c r="C40" s="182"/>
      <c r="D40" s="182"/>
    </row>
    <row r="41" spans="1:4" ht="12.75" customHeight="1" hidden="1">
      <c r="A41" s="182"/>
      <c r="B41" s="182"/>
      <c r="C41" s="182"/>
      <c r="D41" s="182"/>
    </row>
    <row r="42" spans="1:4" ht="12.75" customHeight="1" hidden="1">
      <c r="A42" s="182"/>
      <c r="B42" s="182"/>
      <c r="C42" s="182"/>
      <c r="D42" s="182"/>
    </row>
  </sheetData>
  <sheetProtection/>
  <mergeCells count="8">
    <mergeCell ref="A13:A14"/>
    <mergeCell ref="B13:D13"/>
    <mergeCell ref="A1:D1"/>
    <mergeCell ref="A2:D2"/>
    <mergeCell ref="A3:D3"/>
    <mergeCell ref="A5:A6"/>
    <mergeCell ref="B5:D5"/>
    <mergeCell ref="A10:D10"/>
  </mergeCells>
  <printOptions/>
  <pageMargins left="0.31496062992125984" right="0.5118110236220472" top="0.7874015748031497" bottom="0.7874015748031497" header="0.31496062992125984" footer="0.31496062992125984"/>
  <pageSetup horizontalDpi="600" verticalDpi="600" orientation="portrait" paperSize="9" scale="70" r:id="rId3"/>
  <legacyDrawing r:id="rId2"/>
  <oleObjects>
    <oleObject progId="Word.Document.8" shapeId="85053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A1:J44"/>
  <sheetViews>
    <sheetView showGridLines="0" zoomScale="90" zoomScaleNormal="90" zoomScalePageLayoutView="0" workbookViewId="0" topLeftCell="A7">
      <selection activeCell="A1" sqref="A1:G37"/>
    </sheetView>
  </sheetViews>
  <sheetFormatPr defaultColWidth="32.00390625" defaultRowHeight="12.75"/>
  <cols>
    <col min="1" max="1" width="48.421875" style="31" customWidth="1"/>
    <col min="2" max="2" width="15.57421875" style="32" customWidth="1"/>
    <col min="3" max="3" width="16.57421875" style="37" customWidth="1"/>
    <col min="4" max="4" width="16.7109375" style="31" customWidth="1"/>
    <col min="5" max="5" width="16.28125" style="31" customWidth="1"/>
    <col min="6" max="6" width="16.140625" style="31" customWidth="1"/>
    <col min="7" max="7" width="17.00390625" style="31" customWidth="1"/>
    <col min="8" max="18" width="13.7109375" style="31" customWidth="1"/>
    <col min="19" max="16384" width="32.00390625" style="31" customWidth="1"/>
  </cols>
  <sheetData>
    <row r="1" spans="1:10" ht="12">
      <c r="A1" s="527" t="str">
        <f>Parâmetros!A7</f>
        <v>Município de : BARRA DO QUARAI</v>
      </c>
      <c r="B1" s="528"/>
      <c r="C1" s="528"/>
      <c r="D1" s="528"/>
      <c r="E1" s="528"/>
      <c r="F1" s="528"/>
      <c r="G1" s="528"/>
      <c r="H1" s="480"/>
      <c r="I1" s="480"/>
      <c r="J1" s="481"/>
    </row>
    <row r="2" spans="1:10" ht="12">
      <c r="A2" s="529" t="s">
        <v>661</v>
      </c>
      <c r="B2" s="530"/>
      <c r="C2" s="530"/>
      <c r="D2" s="530"/>
      <c r="E2" s="530"/>
      <c r="F2" s="530"/>
      <c r="G2" s="530"/>
      <c r="H2" s="480"/>
      <c r="I2" s="480"/>
      <c r="J2" s="481"/>
    </row>
    <row r="3" spans="1:10" ht="12">
      <c r="A3" s="529" t="s">
        <v>609</v>
      </c>
      <c r="B3" s="530"/>
      <c r="C3" s="530"/>
      <c r="D3" s="530"/>
      <c r="E3" s="530"/>
      <c r="F3" s="530"/>
      <c r="G3" s="530"/>
      <c r="H3" s="480"/>
      <c r="I3" s="480"/>
      <c r="J3" s="481"/>
    </row>
    <row r="4" spans="1:3" ht="12">
      <c r="A4" s="33"/>
      <c r="C4" s="30"/>
    </row>
    <row r="5" spans="1:7" ht="15">
      <c r="A5" s="526" t="s">
        <v>146</v>
      </c>
      <c r="B5" s="272">
        <f>Parâmetros!B10</f>
        <v>2017</v>
      </c>
      <c r="C5" s="272">
        <f>B5+1</f>
        <v>2018</v>
      </c>
      <c r="D5" s="272">
        <f>C5+1</f>
        <v>2019</v>
      </c>
      <c r="E5" s="272">
        <f>D5+1</f>
        <v>2020</v>
      </c>
      <c r="F5" s="272">
        <f>E5+1</f>
        <v>2021</v>
      </c>
      <c r="G5" s="272">
        <f>F5+1</f>
        <v>2022</v>
      </c>
    </row>
    <row r="6" spans="1:7" ht="39.75" customHeight="1">
      <c r="A6" s="526"/>
      <c r="B6" s="383" t="s">
        <v>128</v>
      </c>
      <c r="C6" s="337" t="s">
        <v>128</v>
      </c>
      <c r="D6" s="337" t="s">
        <v>129</v>
      </c>
      <c r="E6" s="337" t="s">
        <v>632</v>
      </c>
      <c r="F6" s="337" t="s">
        <v>632</v>
      </c>
      <c r="G6" s="337" t="s">
        <v>632</v>
      </c>
    </row>
    <row r="7" spans="1:7" ht="22.5" customHeight="1">
      <c r="A7" s="382" t="s">
        <v>626</v>
      </c>
      <c r="B7" s="384">
        <f aca="true" t="shared" si="0" ref="B7:G7">B8+B9+B10</f>
        <v>1040756.98</v>
      </c>
      <c r="C7" s="384">
        <f t="shared" si="0"/>
        <v>639710.64</v>
      </c>
      <c r="D7" s="384">
        <f t="shared" si="0"/>
        <v>489638.68</v>
      </c>
      <c r="E7" s="384">
        <f t="shared" si="0"/>
        <v>723368.7666666667</v>
      </c>
      <c r="F7" s="384">
        <f t="shared" si="0"/>
        <v>617572.6955555556</v>
      </c>
      <c r="G7" s="384">
        <f t="shared" si="0"/>
        <v>610193.3807407408</v>
      </c>
    </row>
    <row r="8" spans="1:7" ht="22.5" customHeight="1">
      <c r="A8" s="274" t="s">
        <v>623</v>
      </c>
      <c r="B8" s="63">
        <v>0</v>
      </c>
      <c r="C8" s="63">
        <v>0</v>
      </c>
      <c r="D8" s="63">
        <v>0</v>
      </c>
      <c r="E8" s="276">
        <f aca="true" t="shared" si="1" ref="E8:G10">(B8+C8+D8)/3</f>
        <v>0</v>
      </c>
      <c r="F8" s="276">
        <f t="shared" si="1"/>
        <v>0</v>
      </c>
      <c r="G8" s="276">
        <f t="shared" si="1"/>
        <v>0</v>
      </c>
    </row>
    <row r="9" spans="1:7" ht="22.5" customHeight="1">
      <c r="A9" s="274" t="s">
        <v>624</v>
      </c>
      <c r="B9" s="63">
        <v>1040756.98</v>
      </c>
      <c r="C9" s="63">
        <v>639710.64</v>
      </c>
      <c r="D9" s="63">
        <v>489638.68</v>
      </c>
      <c r="E9" s="276">
        <f t="shared" si="1"/>
        <v>723368.7666666667</v>
      </c>
      <c r="F9" s="276">
        <f t="shared" si="1"/>
        <v>617572.6955555556</v>
      </c>
      <c r="G9" s="276">
        <f t="shared" si="1"/>
        <v>610193.3807407408</v>
      </c>
    </row>
    <row r="10" spans="1:7" ht="22.5" customHeight="1">
      <c r="A10" s="274" t="s">
        <v>625</v>
      </c>
      <c r="B10" s="63">
        <v>0</v>
      </c>
      <c r="C10" s="63">
        <v>0</v>
      </c>
      <c r="D10" s="63">
        <v>0</v>
      </c>
      <c r="E10" s="276">
        <f t="shared" si="1"/>
        <v>0</v>
      </c>
      <c r="F10" s="276">
        <f t="shared" si="1"/>
        <v>0</v>
      </c>
      <c r="G10" s="276">
        <f t="shared" si="1"/>
        <v>0</v>
      </c>
    </row>
    <row r="11" spans="1:7" ht="15">
      <c r="A11" s="274" t="s">
        <v>627</v>
      </c>
      <c r="B11" s="384">
        <f aca="true" t="shared" si="2" ref="B11:G11">B12-B13+B14</f>
        <v>1155660.54</v>
      </c>
      <c r="C11" s="384">
        <f t="shared" si="2"/>
        <v>956531.5</v>
      </c>
      <c r="D11" s="384">
        <f t="shared" si="2"/>
        <v>973989.2400000001</v>
      </c>
      <c r="E11" s="384">
        <f t="shared" si="2"/>
        <v>1028727.0933333334</v>
      </c>
      <c r="F11" s="384">
        <f t="shared" si="2"/>
        <v>986415.9444444445</v>
      </c>
      <c r="G11" s="384">
        <f t="shared" si="2"/>
        <v>996377.4259259261</v>
      </c>
    </row>
    <row r="12" spans="1:7" ht="15">
      <c r="A12" s="274" t="s">
        <v>628</v>
      </c>
      <c r="B12" s="63">
        <v>1080171.53</v>
      </c>
      <c r="C12" s="63">
        <v>992650.44</v>
      </c>
      <c r="D12" s="63">
        <v>1084068.09</v>
      </c>
      <c r="E12" s="276">
        <f aca="true" t="shared" si="3" ref="E12:G14">(B12+C12+D12)/3</f>
        <v>1052296.6866666668</v>
      </c>
      <c r="F12" s="276">
        <f t="shared" si="3"/>
        <v>1043005.0722222222</v>
      </c>
      <c r="G12" s="276">
        <f t="shared" si="3"/>
        <v>1059789.9496296297</v>
      </c>
    </row>
    <row r="13" spans="1:7" ht="15">
      <c r="A13" s="274" t="s">
        <v>629</v>
      </c>
      <c r="B13" s="63">
        <v>7526.73</v>
      </c>
      <c r="C13" s="63">
        <v>36118.94</v>
      </c>
      <c r="D13" s="63">
        <v>110078.85</v>
      </c>
      <c r="E13" s="276">
        <f t="shared" si="3"/>
        <v>51241.506666666675</v>
      </c>
      <c r="F13" s="276">
        <f t="shared" si="3"/>
        <v>65813.0988888889</v>
      </c>
      <c r="G13" s="276">
        <f t="shared" si="3"/>
        <v>75711.15185185186</v>
      </c>
    </row>
    <row r="14" spans="1:7" ht="15">
      <c r="A14" s="274" t="s">
        <v>631</v>
      </c>
      <c r="B14" s="63">
        <v>83015.74</v>
      </c>
      <c r="C14" s="63">
        <v>0</v>
      </c>
      <c r="D14" s="63">
        <v>0</v>
      </c>
      <c r="E14" s="276">
        <f t="shared" si="3"/>
        <v>27671.913333333334</v>
      </c>
      <c r="F14" s="276">
        <f t="shared" si="3"/>
        <v>9223.971111111112</v>
      </c>
      <c r="G14" s="276">
        <f t="shared" si="3"/>
        <v>12298.62814814815</v>
      </c>
    </row>
    <row r="15" spans="1:7" ht="22.5" customHeight="1">
      <c r="A15" s="274" t="s">
        <v>630</v>
      </c>
      <c r="B15" s="275">
        <f aca="true" t="shared" si="4" ref="B15:G15">B7-B11</f>
        <v>-114903.56000000006</v>
      </c>
      <c r="C15" s="275">
        <f t="shared" si="4"/>
        <v>-316820.86</v>
      </c>
      <c r="D15" s="275">
        <f t="shared" si="4"/>
        <v>-484350.5600000001</v>
      </c>
      <c r="E15" s="275">
        <f t="shared" si="4"/>
        <v>-305358.32666666666</v>
      </c>
      <c r="F15" s="275">
        <f t="shared" si="4"/>
        <v>-368843.24888888886</v>
      </c>
      <c r="G15" s="275">
        <f t="shared" si="4"/>
        <v>-386184.04518518527</v>
      </c>
    </row>
    <row r="16" spans="1:7" s="34" customFormat="1" ht="15">
      <c r="A16" s="48"/>
      <c r="B16" s="49"/>
      <c r="C16" s="49"/>
      <c r="D16" s="49"/>
      <c r="E16" s="49"/>
      <c r="F16" s="49"/>
      <c r="G16" s="49"/>
    </row>
    <row r="17" spans="1:7" ht="15">
      <c r="A17" s="50" t="s">
        <v>633</v>
      </c>
      <c r="B17" s="64"/>
      <c r="C17" s="51"/>
      <c r="D17" s="51"/>
      <c r="E17" s="51"/>
      <c r="F17" s="51"/>
      <c r="G17" s="52" t="s">
        <v>5</v>
      </c>
    </row>
    <row r="18" spans="1:7" ht="15">
      <c r="A18" s="526" t="s">
        <v>154</v>
      </c>
      <c r="B18" s="272">
        <f>Parâmetros!B10</f>
        <v>2017</v>
      </c>
      <c r="C18" s="272">
        <f>B18+1</f>
        <v>2018</v>
      </c>
      <c r="D18" s="272">
        <f>C18+1</f>
        <v>2019</v>
      </c>
      <c r="E18" s="272">
        <f>D18+1</f>
        <v>2020</v>
      </c>
      <c r="F18" s="272">
        <f>E18+1</f>
        <v>2021</v>
      </c>
      <c r="G18" s="272">
        <f>F18+1</f>
        <v>2022</v>
      </c>
    </row>
    <row r="19" spans="1:7" ht="15">
      <c r="A19" s="526"/>
      <c r="B19" s="272" t="s">
        <v>10</v>
      </c>
      <c r="C19" s="273" t="s">
        <v>10</v>
      </c>
      <c r="D19" s="273" t="s">
        <v>129</v>
      </c>
      <c r="E19" s="273" t="s">
        <v>11</v>
      </c>
      <c r="F19" s="273" t="s">
        <v>11</v>
      </c>
      <c r="G19" s="273" t="s">
        <v>11</v>
      </c>
    </row>
    <row r="20" spans="1:7" s="35" customFormat="1" ht="15">
      <c r="A20" s="277" t="s">
        <v>38</v>
      </c>
      <c r="B20" s="278">
        <f>Projeções!D79</f>
        <v>0</v>
      </c>
      <c r="C20" s="278">
        <f>Projeções!E79</f>
        <v>0</v>
      </c>
      <c r="D20" s="278">
        <f>Projeções!F79</f>
        <v>0</v>
      </c>
      <c r="E20" s="65">
        <v>0</v>
      </c>
      <c r="F20" s="65">
        <v>0</v>
      </c>
      <c r="G20" s="65">
        <v>0</v>
      </c>
    </row>
    <row r="21" spans="1:7" ht="15">
      <c r="A21" s="274" t="s">
        <v>496</v>
      </c>
      <c r="B21" s="275">
        <f>Projeções!D119+Projeções!D120</f>
        <v>0</v>
      </c>
      <c r="C21" s="275">
        <f>Projeções!E119+Projeções!E120</f>
        <v>0</v>
      </c>
      <c r="D21" s="275">
        <f>Projeções!F119+Projeções!F120</f>
        <v>0</v>
      </c>
      <c r="E21" s="275">
        <f>Projeções!G119+Projeções!G120</f>
        <v>0</v>
      </c>
      <c r="F21" s="275">
        <f>Projeções!H119+Projeções!H120</f>
        <v>0</v>
      </c>
      <c r="G21" s="275">
        <f>Projeções!I119+Projeções!I120</f>
        <v>0</v>
      </c>
    </row>
    <row r="22" spans="1:7" ht="15">
      <c r="A22" s="274" t="s">
        <v>497</v>
      </c>
      <c r="B22" s="275">
        <f>Projeções!D136+Projeções!D137</f>
        <v>239289.86</v>
      </c>
      <c r="C22" s="275">
        <f>Projeções!E136+Projeções!E137</f>
        <v>482099.04</v>
      </c>
      <c r="D22" s="275">
        <f>Projeções!F136+Projeções!F137</f>
        <v>820000</v>
      </c>
      <c r="E22" s="275">
        <f>Projeções!G136+Projeções!G137</f>
        <v>560836.73957134</v>
      </c>
      <c r="F22" s="275">
        <f>Projeções!H136+Projeções!H137</f>
        <v>583270.2091541936</v>
      </c>
      <c r="G22" s="275">
        <f>Projeções!I136+Projeções!I137</f>
        <v>607184.2877295156</v>
      </c>
    </row>
    <row r="23" spans="1:7" ht="15.75" customHeight="1" hidden="1">
      <c r="A23" s="67" t="s">
        <v>35</v>
      </c>
      <c r="B23" s="66"/>
      <c r="C23" s="66"/>
      <c r="D23" s="66"/>
      <c r="E23" s="66"/>
      <c r="F23" s="66"/>
      <c r="G23" s="66"/>
    </row>
    <row r="24" spans="1:7" ht="12.75">
      <c r="A24" s="523" t="s">
        <v>217</v>
      </c>
      <c r="B24" s="524"/>
      <c r="C24" s="524"/>
      <c r="D24" s="524"/>
      <c r="E24" s="524"/>
      <c r="F24" s="524"/>
      <c r="G24" s="525"/>
    </row>
    <row r="25" spans="1:3" ht="12">
      <c r="A25" s="33"/>
      <c r="C25" s="30"/>
    </row>
    <row r="26" spans="1:3" ht="12">
      <c r="A26" s="33"/>
      <c r="C26" s="30"/>
    </row>
    <row r="27" spans="1:3" ht="12">
      <c r="A27" s="33"/>
      <c r="C27" s="30"/>
    </row>
    <row r="28" spans="1:3" ht="12">
      <c r="A28" s="33"/>
      <c r="C28" s="30"/>
    </row>
    <row r="29" spans="1:3" ht="12">
      <c r="A29" s="33"/>
      <c r="C29" s="30"/>
    </row>
    <row r="30" spans="1:3" ht="12">
      <c r="A30" s="33"/>
      <c r="C30" s="30"/>
    </row>
    <row r="31" ht="12">
      <c r="A31" s="36"/>
    </row>
    <row r="32" ht="12">
      <c r="A32" s="36"/>
    </row>
    <row r="33" ht="12">
      <c r="A33" s="36"/>
    </row>
    <row r="34" ht="12">
      <c r="A34" s="36"/>
    </row>
    <row r="35" ht="12">
      <c r="A35" s="36"/>
    </row>
    <row r="36" ht="12">
      <c r="A36" s="36"/>
    </row>
    <row r="37" ht="12">
      <c r="A37" s="36"/>
    </row>
    <row r="38" ht="12">
      <c r="A38" s="36"/>
    </row>
    <row r="39" ht="12">
      <c r="A39" s="36"/>
    </row>
    <row r="40" ht="12">
      <c r="A40" s="36"/>
    </row>
    <row r="41" ht="12">
      <c r="A41" s="36"/>
    </row>
    <row r="42" ht="12">
      <c r="A42" s="36"/>
    </row>
    <row r="43" ht="12">
      <c r="A43" s="36"/>
    </row>
    <row r="44" ht="12">
      <c r="A44" s="36"/>
    </row>
  </sheetData>
  <sheetProtection/>
  <mergeCells count="6">
    <mergeCell ref="A24:G24"/>
    <mergeCell ref="A18:A19"/>
    <mergeCell ref="A5:A6"/>
    <mergeCell ref="A1:G1"/>
    <mergeCell ref="A2:G2"/>
    <mergeCell ref="A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23">
      <selection activeCell="H23" activeCellId="1" sqref="H17 H23"/>
    </sheetView>
  </sheetViews>
  <sheetFormatPr defaultColWidth="32.00390625" defaultRowHeight="12.75"/>
  <cols>
    <col min="1" max="1" width="61.00390625" style="370" customWidth="1"/>
    <col min="2" max="2" width="15.57421875" style="372" customWidth="1"/>
    <col min="3" max="3" width="16.57421875" style="375" customWidth="1"/>
    <col min="4" max="4" width="16.7109375" style="370" customWidth="1"/>
    <col min="5" max="5" width="16.28125" style="370" customWidth="1"/>
    <col min="6" max="6" width="16.140625" style="370" customWidth="1"/>
    <col min="7" max="7" width="17.00390625" style="370" customWidth="1"/>
    <col min="8" max="17" width="13.7109375" style="370" customWidth="1"/>
    <col min="18" max="16384" width="32.00390625" style="370" customWidth="1"/>
  </cols>
  <sheetData>
    <row r="1" spans="1:9" ht="15">
      <c r="A1" s="532" t="str">
        <f>Parâmetros!A7</f>
        <v>Município de : BARRA DO QUARAI</v>
      </c>
      <c r="B1" s="533"/>
      <c r="C1" s="533"/>
      <c r="D1" s="533"/>
      <c r="E1" s="533"/>
      <c r="F1" s="533"/>
      <c r="G1" s="533"/>
      <c r="H1" s="482"/>
      <c r="I1" s="483"/>
    </row>
    <row r="2" spans="1:9" ht="15">
      <c r="A2" s="534" t="s">
        <v>661</v>
      </c>
      <c r="B2" s="535"/>
      <c r="C2" s="535"/>
      <c r="D2" s="535"/>
      <c r="E2" s="535"/>
      <c r="F2" s="535"/>
      <c r="G2" s="535"/>
      <c r="H2" s="482"/>
      <c r="I2" s="483"/>
    </row>
    <row r="3" spans="1:9" ht="15">
      <c r="A3" s="534" t="s">
        <v>526</v>
      </c>
      <c r="B3" s="535"/>
      <c r="C3" s="535"/>
      <c r="D3" s="535"/>
      <c r="E3" s="535"/>
      <c r="F3" s="535"/>
      <c r="G3" s="535"/>
      <c r="H3" s="482"/>
      <c r="I3" s="483"/>
    </row>
    <row r="4" spans="1:3" ht="15">
      <c r="A4" s="371"/>
      <c r="C4" s="370"/>
    </row>
    <row r="5" spans="1:7" ht="15">
      <c r="A5" s="531" t="s">
        <v>527</v>
      </c>
      <c r="B5" s="358">
        <f>Parâmetros!B10</f>
        <v>2017</v>
      </c>
      <c r="C5" s="358">
        <f>B5+1</f>
        <v>2018</v>
      </c>
      <c r="D5" s="358">
        <f>C5+1</f>
        <v>2019</v>
      </c>
      <c r="E5" s="358">
        <f>D5+1</f>
        <v>2020</v>
      </c>
      <c r="F5" s="358">
        <f>E5+1</f>
        <v>2021</v>
      </c>
      <c r="G5" s="358">
        <f>F5+1</f>
        <v>2022</v>
      </c>
    </row>
    <row r="6" spans="1:7" ht="12.75" customHeight="1">
      <c r="A6" s="531"/>
      <c r="B6" s="358" t="s">
        <v>528</v>
      </c>
      <c r="C6" s="358" t="s">
        <v>528</v>
      </c>
      <c r="D6" s="359" t="s">
        <v>529</v>
      </c>
      <c r="E6" s="359" t="s">
        <v>529</v>
      </c>
      <c r="F6" s="359" t="s">
        <v>529</v>
      </c>
      <c r="G6" s="359" t="s">
        <v>529</v>
      </c>
    </row>
    <row r="7" spans="1:7" ht="19.5" customHeight="1">
      <c r="A7" s="360" t="s">
        <v>223</v>
      </c>
      <c r="B7" s="430">
        <f>Projeções!D8+Projeções!D99-Projeções!D103</f>
        <v>19472853.946000006</v>
      </c>
      <c r="C7" s="430">
        <f>Projeções!E8+Projeções!E99-Projeções!E103</f>
        <v>20545422.623999998</v>
      </c>
      <c r="D7" s="430">
        <f>Projeções!F8+Projeções!F99-Projeções!F103</f>
        <v>22949347.60599999</v>
      </c>
      <c r="E7" s="430">
        <f>Projeções!G8+Projeções!G99-Projeções!G103</f>
        <v>23965609.54494396</v>
      </c>
      <c r="F7" s="430">
        <f>Projeções!H8+Projeções!H99-Projeções!H103</f>
        <v>25787784.701014824</v>
      </c>
      <c r="G7" s="430">
        <f>Projeções!I8+Projeções!I99-Projeções!I103</f>
        <v>27859490.635840155</v>
      </c>
    </row>
    <row r="8" spans="1:7" ht="19.5" customHeight="1">
      <c r="A8" s="362" t="s">
        <v>530</v>
      </c>
      <c r="B8" s="430">
        <f>Projeções!D25-Projeções!D28</f>
        <v>34840.78</v>
      </c>
      <c r="C8" s="430">
        <f>Projeções!E25-Projeções!E28</f>
        <v>24330.649999999998</v>
      </c>
      <c r="D8" s="430">
        <f>Projeções!F25-Projeções!F28</f>
        <v>73890.93</v>
      </c>
      <c r="E8" s="430">
        <f>Projeções!G25-Projeções!G28</f>
        <v>48960.018057190435</v>
      </c>
      <c r="F8" s="430">
        <f>Projeções!H25-Projeções!H28</f>
        <v>51376.68454849335</v>
      </c>
      <c r="G8" s="430">
        <f>Projeções!I25-Projeções!I28</f>
        <v>54017.95990113139</v>
      </c>
    </row>
    <row r="9" spans="1:7" ht="19.5" customHeight="1">
      <c r="A9" s="362" t="s">
        <v>531</v>
      </c>
      <c r="B9" s="431">
        <f>Projeções!D28</f>
        <v>0</v>
      </c>
      <c r="C9" s="431">
        <f>Projeções!E28</f>
        <v>0</v>
      </c>
      <c r="D9" s="431">
        <f>Projeções!F28</f>
        <v>0</v>
      </c>
      <c r="E9" s="431">
        <f>Projeções!G28</f>
        <v>0</v>
      </c>
      <c r="F9" s="431">
        <f>Projeções!H28</f>
        <v>0</v>
      </c>
      <c r="G9" s="431">
        <f>Projeções!I28</f>
        <v>0</v>
      </c>
    </row>
    <row r="10" spans="1:7" ht="19.5" customHeight="1">
      <c r="A10" s="362" t="s">
        <v>532</v>
      </c>
      <c r="B10" s="431">
        <f>Projeções!D37+Projeções!D69+Projeções!D74+Projeções!D76</f>
        <v>0</v>
      </c>
      <c r="C10" s="431">
        <f>Projeções!E37+Projeções!E69+Projeções!E74+Projeções!E76</f>
        <v>0</v>
      </c>
      <c r="D10" s="431">
        <f>Projeções!F37+Projeções!F69+Projeções!F74+Projeções!F76</f>
        <v>0</v>
      </c>
      <c r="E10" s="431">
        <f>Projeções!G37+Projeções!G69+Projeções!G74+Projeções!G76</f>
        <v>0</v>
      </c>
      <c r="F10" s="431">
        <f>Projeções!H37+Projeções!H69+Projeções!H74+Projeções!H76</f>
        <v>0</v>
      </c>
      <c r="G10" s="431">
        <f>Projeções!I37+Projeções!I69+Projeções!I74+Projeções!I76</f>
        <v>0</v>
      </c>
    </row>
    <row r="11" spans="1:7" ht="19.5" customHeight="1">
      <c r="A11" s="360" t="s">
        <v>561</v>
      </c>
      <c r="B11" s="432">
        <f aca="true" t="shared" si="0" ref="B11:G11">B7-B8-B9-B10</f>
        <v>19438013.166000005</v>
      </c>
      <c r="C11" s="432">
        <f t="shared" si="0"/>
        <v>20521091.974</v>
      </c>
      <c r="D11" s="432">
        <f t="shared" si="0"/>
        <v>22875456.67599999</v>
      </c>
      <c r="E11" s="432">
        <f t="shared" si="0"/>
        <v>23916649.52688677</v>
      </c>
      <c r="F11" s="432">
        <f t="shared" si="0"/>
        <v>25736408.01646633</v>
      </c>
      <c r="G11" s="432">
        <f t="shared" si="0"/>
        <v>27805472.675939023</v>
      </c>
    </row>
    <row r="12" spans="1:7" ht="19.5" customHeight="1">
      <c r="A12" s="360"/>
      <c r="B12" s="432"/>
      <c r="C12" s="432"/>
      <c r="D12" s="432"/>
      <c r="E12" s="432"/>
      <c r="F12" s="432"/>
      <c r="G12" s="432"/>
    </row>
    <row r="13" spans="1:7" ht="19.5" customHeight="1">
      <c r="A13" s="363" t="s">
        <v>341</v>
      </c>
      <c r="B13" s="432">
        <f>Projeções!D78+Projeções!D103</f>
        <v>33960.85</v>
      </c>
      <c r="C13" s="432">
        <f>Projeções!E78+Projeções!E103</f>
        <v>42497.56</v>
      </c>
      <c r="D13" s="432">
        <f>Projeções!F78+Projeções!F103</f>
        <v>20698.07</v>
      </c>
      <c r="E13" s="432">
        <f>Projeções!G78+Projeções!G103</f>
        <v>35778.790484140074</v>
      </c>
      <c r="F13" s="432">
        <f>Projeções!H78+Projeções!H103</f>
        <v>37209.94210350568</v>
      </c>
      <c r="G13" s="432">
        <f>Projeções!I78+Projeções!I103</f>
        <v>38735.54972974941</v>
      </c>
    </row>
    <row r="14" spans="1:7" ht="19.5" customHeight="1">
      <c r="A14" s="364" t="s">
        <v>533</v>
      </c>
      <c r="B14" s="431">
        <f>Projeções!D79</f>
        <v>0</v>
      </c>
      <c r="C14" s="431">
        <f>Projeções!E79</f>
        <v>0</v>
      </c>
      <c r="D14" s="431">
        <f>Projeções!F79</f>
        <v>0</v>
      </c>
      <c r="E14" s="431">
        <f>Projeções!G79</f>
        <v>0</v>
      </c>
      <c r="F14" s="431">
        <f>Projeções!H79</f>
        <v>0</v>
      </c>
      <c r="G14" s="431">
        <f>Projeções!I79</f>
        <v>0</v>
      </c>
    </row>
    <row r="15" spans="1:7" ht="19.5" customHeight="1">
      <c r="A15" s="364" t="s">
        <v>534</v>
      </c>
      <c r="B15" s="431">
        <f>Projeções!D85</f>
        <v>0</v>
      </c>
      <c r="C15" s="431">
        <f>Projeções!E85</f>
        <v>0</v>
      </c>
      <c r="D15" s="431">
        <f>Projeções!F85</f>
        <v>0</v>
      </c>
      <c r="E15" s="431">
        <f>Projeções!G85</f>
        <v>0</v>
      </c>
      <c r="F15" s="431">
        <f>Projeções!H85</f>
        <v>0</v>
      </c>
      <c r="G15" s="431">
        <f>Projeções!I85</f>
        <v>0</v>
      </c>
    </row>
    <row r="16" spans="1:7" ht="19.5" customHeight="1">
      <c r="A16" s="364" t="s">
        <v>535</v>
      </c>
      <c r="B16" s="431">
        <f>Projeções!D81+Projeções!D82</f>
        <v>0</v>
      </c>
      <c r="C16" s="431">
        <f>Projeções!E81+Projeções!E82</f>
        <v>0</v>
      </c>
      <c r="D16" s="431">
        <f>Projeções!F81+Projeções!F82</f>
        <v>0</v>
      </c>
      <c r="E16" s="431">
        <f>Projeções!G81+Projeções!G82</f>
        <v>0</v>
      </c>
      <c r="F16" s="431">
        <f>Projeções!H81+Projeções!H82</f>
        <v>0</v>
      </c>
      <c r="G16" s="431">
        <f>Projeções!I81+Projeções!I82</f>
        <v>0</v>
      </c>
    </row>
    <row r="17" spans="1:8" ht="19.5" customHeight="1">
      <c r="A17" s="364" t="s">
        <v>536</v>
      </c>
      <c r="B17" s="431">
        <f>Projeções!D96</f>
        <v>0</v>
      </c>
      <c r="C17" s="431">
        <f>Projeções!E96</f>
        <v>0</v>
      </c>
      <c r="D17" s="431">
        <f>Projeções!F96</f>
        <v>0</v>
      </c>
      <c r="E17" s="431">
        <f>Projeções!G96</f>
        <v>0</v>
      </c>
      <c r="F17" s="431">
        <f>Projeções!H96</f>
        <v>0</v>
      </c>
      <c r="G17" s="431">
        <f>Projeções!I96</f>
        <v>0</v>
      </c>
      <c r="H17" s="365"/>
    </row>
    <row r="18" spans="1:7" ht="19.5" customHeight="1">
      <c r="A18" s="363" t="s">
        <v>562</v>
      </c>
      <c r="B18" s="432">
        <f aca="true" t="shared" si="1" ref="B18:G18">B13-B14-B15-B16-B17</f>
        <v>33960.85</v>
      </c>
      <c r="C18" s="432">
        <f t="shared" si="1"/>
        <v>42497.56</v>
      </c>
      <c r="D18" s="432">
        <f t="shared" si="1"/>
        <v>20698.07</v>
      </c>
      <c r="E18" s="432">
        <f t="shared" si="1"/>
        <v>35778.790484140074</v>
      </c>
      <c r="F18" s="432">
        <f t="shared" si="1"/>
        <v>37209.94210350568</v>
      </c>
      <c r="G18" s="432">
        <f t="shared" si="1"/>
        <v>38735.54972974941</v>
      </c>
    </row>
    <row r="19" spans="1:7" s="373" customFormat="1" ht="19.5" customHeight="1">
      <c r="A19" s="366" t="s">
        <v>563</v>
      </c>
      <c r="B19" s="433">
        <f aca="true" t="shared" si="2" ref="B19:G19">B11+B18</f>
        <v>19471974.016000006</v>
      </c>
      <c r="C19" s="433">
        <f t="shared" si="2"/>
        <v>20563589.533999998</v>
      </c>
      <c r="D19" s="433">
        <f t="shared" si="2"/>
        <v>22896154.745999992</v>
      </c>
      <c r="E19" s="433">
        <f t="shared" si="2"/>
        <v>23952428.31737091</v>
      </c>
      <c r="F19" s="433">
        <f t="shared" si="2"/>
        <v>25773617.958569836</v>
      </c>
      <c r="G19" s="433">
        <f t="shared" si="2"/>
        <v>27844208.225668773</v>
      </c>
    </row>
    <row r="20" ht="15">
      <c r="A20" s="374"/>
    </row>
    <row r="21" spans="1:7" ht="15">
      <c r="A21" s="531" t="s">
        <v>555</v>
      </c>
      <c r="B21" s="358">
        <f>B5</f>
        <v>2017</v>
      </c>
      <c r="C21" s="358">
        <f>B21+1</f>
        <v>2018</v>
      </c>
      <c r="D21" s="358">
        <f>C21+1</f>
        <v>2019</v>
      </c>
      <c r="E21" s="358">
        <f>D21+1</f>
        <v>2020</v>
      </c>
      <c r="F21" s="358">
        <f>E21+1</f>
        <v>2021</v>
      </c>
      <c r="G21" s="358">
        <f>F21+1</f>
        <v>2022</v>
      </c>
    </row>
    <row r="22" spans="1:7" ht="15">
      <c r="A22" s="531"/>
      <c r="B22" s="358" t="s">
        <v>567</v>
      </c>
      <c r="C22" s="358" t="s">
        <v>567</v>
      </c>
      <c r="D22" s="359" t="s">
        <v>568</v>
      </c>
      <c r="E22" s="359" t="s">
        <v>529</v>
      </c>
      <c r="F22" s="359" t="s">
        <v>529</v>
      </c>
      <c r="G22" s="359" t="s">
        <v>529</v>
      </c>
    </row>
    <row r="23" spans="1:8" ht="15">
      <c r="A23" s="360" t="s">
        <v>443</v>
      </c>
      <c r="B23" s="434">
        <f>Projeções!D113</f>
        <v>17558040.78</v>
      </c>
      <c r="C23" s="434">
        <f>Projeções!E113</f>
        <v>19086092.36</v>
      </c>
      <c r="D23" s="434">
        <f>Projeções!F113</f>
        <v>21799447.34</v>
      </c>
      <c r="E23" s="434">
        <f>Projeções!G113</f>
        <v>22288733.731932737</v>
      </c>
      <c r="F23" s="434">
        <f>Projeções!H113</f>
        <v>24155192.947162673</v>
      </c>
      <c r="G23" s="434">
        <f>Projeções!I113</f>
        <v>26207519.106145456</v>
      </c>
      <c r="H23" s="361"/>
    </row>
    <row r="24" spans="1:7" ht="15">
      <c r="A24" s="362" t="s">
        <v>556</v>
      </c>
      <c r="B24" s="430">
        <f>Projeções!D118</f>
        <v>0</v>
      </c>
      <c r="C24" s="430">
        <f>Projeções!E118</f>
        <v>0</v>
      </c>
      <c r="D24" s="430">
        <f>Projeções!F118</f>
        <v>0</v>
      </c>
      <c r="E24" s="430">
        <f>Projeções!G118</f>
        <v>0</v>
      </c>
      <c r="F24" s="430">
        <f>Projeções!H118</f>
        <v>0</v>
      </c>
      <c r="G24" s="430">
        <f>Projeções!I118</f>
        <v>0</v>
      </c>
    </row>
    <row r="25" spans="1:7" ht="15">
      <c r="A25" s="360" t="s">
        <v>564</v>
      </c>
      <c r="B25" s="432">
        <f aca="true" t="shared" si="3" ref="B25:G25">B23-B24</f>
        <v>17558040.78</v>
      </c>
      <c r="C25" s="432">
        <f t="shared" si="3"/>
        <v>19086092.36</v>
      </c>
      <c r="D25" s="432">
        <f t="shared" si="3"/>
        <v>21799447.34</v>
      </c>
      <c r="E25" s="432">
        <f t="shared" si="3"/>
        <v>22288733.731932737</v>
      </c>
      <c r="F25" s="432">
        <f t="shared" si="3"/>
        <v>24155192.947162673</v>
      </c>
      <c r="G25" s="432">
        <f t="shared" si="3"/>
        <v>26207519.106145456</v>
      </c>
    </row>
    <row r="26" spans="1:7" ht="15">
      <c r="A26" s="360"/>
      <c r="B26" s="432"/>
      <c r="C26" s="432"/>
      <c r="D26" s="432"/>
      <c r="E26" s="432"/>
      <c r="F26" s="432"/>
      <c r="G26" s="432"/>
    </row>
    <row r="27" spans="1:7" ht="15">
      <c r="A27" s="363" t="s">
        <v>444</v>
      </c>
      <c r="B27" s="432">
        <f>Projeções!D126</f>
        <v>524391.26</v>
      </c>
      <c r="C27" s="432">
        <f>Projeções!E126</f>
        <v>726190.77</v>
      </c>
      <c r="D27" s="432">
        <f>Projeções!F126</f>
        <v>1170598.34</v>
      </c>
      <c r="E27" s="432">
        <f>Projeções!G126</f>
        <v>1619034.7916512848</v>
      </c>
      <c r="F27" s="432">
        <f>Projeções!H126</f>
        <v>1798611.5252796952</v>
      </c>
      <c r="G27" s="432">
        <f>Projeções!I126</f>
        <v>2121657.7548720897</v>
      </c>
    </row>
    <row r="28" spans="1:7" ht="15">
      <c r="A28" s="364" t="s">
        <v>557</v>
      </c>
      <c r="B28" s="431">
        <f>Projeções!D132</f>
        <v>0</v>
      </c>
      <c r="C28" s="431">
        <f>Projeções!E132</f>
        <v>0</v>
      </c>
      <c r="D28" s="431">
        <f>Projeções!F132</f>
        <v>0</v>
      </c>
      <c r="E28" s="431">
        <f>Projeções!G132</f>
        <v>0</v>
      </c>
      <c r="F28" s="431">
        <f>Projeções!H132</f>
        <v>0</v>
      </c>
      <c r="G28" s="431">
        <f>Projeções!I132</f>
        <v>0</v>
      </c>
    </row>
    <row r="29" spans="1:7" ht="15">
      <c r="A29" s="364" t="s">
        <v>558</v>
      </c>
      <c r="B29" s="431"/>
      <c r="C29" s="431"/>
      <c r="D29" s="431"/>
      <c r="E29" s="431"/>
      <c r="F29" s="431"/>
      <c r="G29" s="431"/>
    </row>
    <row r="30" spans="1:7" ht="15">
      <c r="A30" s="364" t="s">
        <v>559</v>
      </c>
      <c r="B30" s="431"/>
      <c r="C30" s="431"/>
      <c r="D30" s="431"/>
      <c r="E30" s="431"/>
      <c r="F30" s="431"/>
      <c r="G30" s="431"/>
    </row>
    <row r="31" spans="1:7" ht="15">
      <c r="A31" s="364" t="s">
        <v>560</v>
      </c>
      <c r="B31" s="431">
        <f>Projeções!D136</f>
        <v>239289.86</v>
      </c>
      <c r="C31" s="431">
        <f>Projeções!E136</f>
        <v>482099.04</v>
      </c>
      <c r="D31" s="431">
        <f>Projeções!F136</f>
        <v>820000</v>
      </c>
      <c r="E31" s="431">
        <f>Projeções!G136</f>
        <v>560836.73957134</v>
      </c>
      <c r="F31" s="431">
        <f>Projeções!H136</f>
        <v>583270.2091541936</v>
      </c>
      <c r="G31" s="431">
        <f>Projeções!I136</f>
        <v>607184.2877295156</v>
      </c>
    </row>
    <row r="32" spans="1:7" ht="15">
      <c r="A32" s="363" t="s">
        <v>565</v>
      </c>
      <c r="B32" s="432">
        <f aca="true" t="shared" si="4" ref="B32:G32">B27-B28-B29-B30-B31</f>
        <v>285101.4</v>
      </c>
      <c r="C32" s="432">
        <f t="shared" si="4"/>
        <v>244091.73000000004</v>
      </c>
      <c r="D32" s="432">
        <f t="shared" si="4"/>
        <v>350598.3400000001</v>
      </c>
      <c r="E32" s="432">
        <f t="shared" si="4"/>
        <v>1058198.0520799449</v>
      </c>
      <c r="F32" s="432">
        <f t="shared" si="4"/>
        <v>1215341.3161255014</v>
      </c>
      <c r="G32" s="432">
        <f t="shared" si="4"/>
        <v>1514473.467142574</v>
      </c>
    </row>
    <row r="33" spans="1:7" ht="15">
      <c r="A33" s="366" t="s">
        <v>566</v>
      </c>
      <c r="B33" s="433">
        <f aca="true" t="shared" si="5" ref="B33:G33">B25+B32</f>
        <v>17843142.18</v>
      </c>
      <c r="C33" s="433">
        <f t="shared" si="5"/>
        <v>19330184.09</v>
      </c>
      <c r="D33" s="433">
        <f t="shared" si="5"/>
        <v>22150045.68</v>
      </c>
      <c r="E33" s="433">
        <f t="shared" si="5"/>
        <v>23346931.784012683</v>
      </c>
      <c r="F33" s="433">
        <f t="shared" si="5"/>
        <v>25370534.263288174</v>
      </c>
      <c r="G33" s="433">
        <f t="shared" si="5"/>
        <v>27721992.57328803</v>
      </c>
    </row>
    <row r="35" spans="1:7" ht="15">
      <c r="A35" s="380" t="s">
        <v>569</v>
      </c>
      <c r="B35" s="381">
        <f aca="true" t="shared" si="6" ref="B35:G35">B19-B33</f>
        <v>1628831.8360000066</v>
      </c>
      <c r="C35" s="381">
        <f t="shared" si="6"/>
        <v>1233405.4439999983</v>
      </c>
      <c r="D35" s="381">
        <f t="shared" si="6"/>
        <v>746109.0659999922</v>
      </c>
      <c r="E35" s="381">
        <f t="shared" si="6"/>
        <v>605496.5333582275</v>
      </c>
      <c r="F35" s="381">
        <f t="shared" si="6"/>
        <v>403083.69528166205</v>
      </c>
      <c r="G35" s="381">
        <f t="shared" si="6"/>
        <v>122215.65238074213</v>
      </c>
    </row>
    <row r="37" spans="1:7" ht="15">
      <c r="A37" s="531" t="s">
        <v>570</v>
      </c>
      <c r="B37" s="358">
        <f>B21</f>
        <v>2017</v>
      </c>
      <c r="C37" s="358">
        <f>B37+1</f>
        <v>2018</v>
      </c>
      <c r="D37" s="358">
        <f>C37+1</f>
        <v>2019</v>
      </c>
      <c r="E37" s="358">
        <f>D37+1</f>
        <v>2020</v>
      </c>
      <c r="F37" s="358">
        <f>E37+1</f>
        <v>2021</v>
      </c>
      <c r="G37" s="358">
        <f>F37+1</f>
        <v>2022</v>
      </c>
    </row>
    <row r="38" spans="1:7" ht="15.75" thickBot="1">
      <c r="A38" s="531"/>
      <c r="B38" s="358" t="s">
        <v>128</v>
      </c>
      <c r="C38" s="358" t="s">
        <v>128</v>
      </c>
      <c r="D38" s="359" t="s">
        <v>128</v>
      </c>
      <c r="E38" s="359" t="s">
        <v>529</v>
      </c>
      <c r="F38" s="359" t="s">
        <v>529</v>
      </c>
      <c r="G38" s="359" t="s">
        <v>529</v>
      </c>
    </row>
    <row r="39" spans="1:7" ht="30.75" thickBot="1">
      <c r="A39" s="367" t="s">
        <v>571</v>
      </c>
      <c r="B39" s="365">
        <v>0</v>
      </c>
      <c r="C39" s="365">
        <v>0</v>
      </c>
      <c r="D39" s="365">
        <v>0</v>
      </c>
      <c r="E39" s="431">
        <f>((B39+C39+D39)/3)*(1+Parâmetros!E21)</f>
        <v>0</v>
      </c>
      <c r="F39" s="431">
        <f>((C39+D39+E39)/3)*(1+Parâmetros!F21)</f>
        <v>0</v>
      </c>
      <c r="G39" s="431">
        <f>((D39+E39+F39)/3)*(1+Parâmetros!G21)</f>
        <v>0</v>
      </c>
    </row>
    <row r="40" spans="1:7" ht="30.75" thickBot="1">
      <c r="A40" s="368" t="s">
        <v>572</v>
      </c>
      <c r="B40" s="365">
        <v>0</v>
      </c>
      <c r="C40" s="365">
        <v>0</v>
      </c>
      <c r="D40" s="365">
        <v>0</v>
      </c>
      <c r="E40" s="431">
        <f>((B40+C40+D40)/3)*(1+Parâmetros!E21)</f>
        <v>0</v>
      </c>
      <c r="F40" s="431">
        <f>((C40+D40+E40)/3)*(1+Parâmetros!F21)</f>
        <v>0</v>
      </c>
      <c r="G40" s="431">
        <f>((D40+E40+F40)/3)*(1+Parâmetros!G21)</f>
        <v>0</v>
      </c>
    </row>
    <row r="41" spans="1:7" ht="30.75" thickBot="1">
      <c r="A41" s="368" t="s">
        <v>573</v>
      </c>
      <c r="B41" s="365">
        <v>0</v>
      </c>
      <c r="C41" s="365">
        <v>0</v>
      </c>
      <c r="D41" s="365">
        <v>0</v>
      </c>
      <c r="E41" s="431">
        <f>((B41+C41+D41)/3)*(1+Parâmetros!E21)</f>
        <v>0</v>
      </c>
      <c r="F41" s="431">
        <f>((C41+D41+E41)/3)*(1+Parâmetros!F21)</f>
        <v>0</v>
      </c>
      <c r="G41" s="431">
        <f>((D41+E41+F41)/3)*(1+Parâmetros!G21)</f>
        <v>0</v>
      </c>
    </row>
    <row r="42" spans="1:7" ht="30.75" thickBot="1">
      <c r="A42" s="368" t="s">
        <v>574</v>
      </c>
      <c r="B42" s="365">
        <v>0</v>
      </c>
      <c r="C42" s="365">
        <v>0</v>
      </c>
      <c r="D42" s="365">
        <v>0</v>
      </c>
      <c r="E42" s="431">
        <f>((B42+C42+D42)/3)*(1+Parâmetros!E21)</f>
        <v>0</v>
      </c>
      <c r="F42" s="431">
        <f>((C42+D42+E42)/3)*(1+Parâmetros!F21)</f>
        <v>0</v>
      </c>
      <c r="G42" s="431">
        <f>((D42+E42+F42)/3)*(1+Parâmetros!G21)</f>
        <v>0</v>
      </c>
    </row>
    <row r="43" spans="1:7" ht="30.75" thickBot="1">
      <c r="A43" s="368" t="s">
        <v>575</v>
      </c>
      <c r="B43" s="365">
        <v>0</v>
      </c>
      <c r="C43" s="365">
        <v>0</v>
      </c>
      <c r="D43" s="365">
        <v>0</v>
      </c>
      <c r="E43" s="431">
        <f>((B43+C43+D43)/3)*(1+Parâmetros!E21)</f>
        <v>0</v>
      </c>
      <c r="F43" s="431">
        <f>((C43+D43+E43)/3)*(1+Parâmetros!F21)</f>
        <v>0</v>
      </c>
      <c r="G43" s="431">
        <f>((D43+E43+F43)/3)*(1+Parâmetros!G21)</f>
        <v>0</v>
      </c>
    </row>
    <row r="44" spans="1:7" ht="30.75" thickBot="1">
      <c r="A44" s="368" t="s">
        <v>576</v>
      </c>
      <c r="B44" s="365">
        <v>0</v>
      </c>
      <c r="C44" s="365">
        <v>0</v>
      </c>
      <c r="D44" s="365">
        <v>0</v>
      </c>
      <c r="E44" s="431">
        <f>((B44+C44+D44)/3)*(1+Parâmetros!E21)</f>
        <v>0</v>
      </c>
      <c r="F44" s="431">
        <f>((C44+D44+E44)/3)*(1+Parâmetros!F21)</f>
        <v>0</v>
      </c>
      <c r="G44" s="431">
        <f>((D44+E44+F44)/3)*(1+Parâmetros!G21)</f>
        <v>0</v>
      </c>
    </row>
    <row r="45" spans="1:7" ht="30.75" thickBot="1">
      <c r="A45" s="368" t="s">
        <v>577</v>
      </c>
      <c r="B45" s="365">
        <v>0</v>
      </c>
      <c r="C45" s="365">
        <v>0</v>
      </c>
      <c r="D45" s="365">
        <v>0</v>
      </c>
      <c r="E45" s="431">
        <f>((B45+C45+D45)/3)*(1+Parâmetros!E21)</f>
        <v>0</v>
      </c>
      <c r="F45" s="431">
        <f>((C45+D45+E45)/3)*(1+Parâmetros!F21)</f>
        <v>0</v>
      </c>
      <c r="G45" s="431">
        <f>((D45+E45+F45)/3)*(1+Parâmetros!G21)</f>
        <v>0</v>
      </c>
    </row>
    <row r="46" spans="1:7" ht="30.75" thickBot="1">
      <c r="A46" s="368" t="s">
        <v>578</v>
      </c>
      <c r="B46" s="365">
        <v>0</v>
      </c>
      <c r="C46" s="365">
        <v>0</v>
      </c>
      <c r="D46" s="365">
        <v>0</v>
      </c>
      <c r="E46" s="431">
        <f>((B46+C46+D46)/3)*(1+Parâmetros!E21)</f>
        <v>0</v>
      </c>
      <c r="F46" s="431">
        <f>((C46+D46+E46)/3)*(1+Parâmetros!F21)</f>
        <v>0</v>
      </c>
      <c r="G46" s="431">
        <f>((D46+E46+F46)/3)*(1+Parâmetros!G21)</f>
        <v>0</v>
      </c>
    </row>
    <row r="47" spans="1:7" ht="30.75" thickBot="1">
      <c r="A47" s="368" t="s">
        <v>579</v>
      </c>
      <c r="B47" s="365">
        <v>0</v>
      </c>
      <c r="C47" s="365">
        <v>0</v>
      </c>
      <c r="D47" s="365">
        <v>0</v>
      </c>
      <c r="E47" s="431">
        <f>((B47+C47+D47)/3)*(1+Parâmetros!E21)</f>
        <v>0</v>
      </c>
      <c r="F47" s="431">
        <f>((C47+D47+E47)/3)*(1+Parâmetros!F21)</f>
        <v>0</v>
      </c>
      <c r="G47" s="431">
        <f>((D47+E47+F47)/3)*(1+Parâmetros!G21)</f>
        <v>0</v>
      </c>
    </row>
    <row r="48" spans="1:7" ht="30.75" thickBot="1">
      <c r="A48" s="368" t="s">
        <v>580</v>
      </c>
      <c r="B48" s="365">
        <v>0</v>
      </c>
      <c r="C48" s="365">
        <v>0</v>
      </c>
      <c r="D48" s="365">
        <v>0</v>
      </c>
      <c r="E48" s="431">
        <f>((B48+C48+D48)/3)*(1+Parâmetros!E21)</f>
        <v>0</v>
      </c>
      <c r="F48" s="431">
        <f>((C48+D48+E48)/3)*(1+Parâmetros!F21)</f>
        <v>0</v>
      </c>
      <c r="G48" s="431">
        <f>((D48+E48+F48)/3)*(1+Parâmetros!G21)</f>
        <v>0</v>
      </c>
    </row>
    <row r="49" spans="1:7" ht="30.75" thickBot="1">
      <c r="A49" s="368" t="s">
        <v>581</v>
      </c>
      <c r="B49" s="365">
        <v>0</v>
      </c>
      <c r="C49" s="365">
        <v>0</v>
      </c>
      <c r="D49" s="365">
        <v>0</v>
      </c>
      <c r="E49" s="431">
        <f>((B49+C49+D49)/3)*(1+Parâmetros!E21)</f>
        <v>0</v>
      </c>
      <c r="F49" s="431">
        <f>((C49+D49+E49)/3)*(1+Parâmetros!F21)</f>
        <v>0</v>
      </c>
      <c r="G49" s="431">
        <f>((D49+E49+F49)/3)*(1+Parâmetros!G21)</f>
        <v>0</v>
      </c>
    </row>
    <row r="50" spans="1:7" ht="30.75" thickBot="1">
      <c r="A50" s="368" t="s">
        <v>582</v>
      </c>
      <c r="B50" s="365">
        <v>0</v>
      </c>
      <c r="C50" s="365">
        <v>0</v>
      </c>
      <c r="D50" s="365">
        <v>0</v>
      </c>
      <c r="E50" s="431">
        <f>((B50+C50+D50)/3)*(1+Parâmetros!E21)</f>
        <v>0</v>
      </c>
      <c r="F50" s="431">
        <f>((C50+D50+E50)/3)*(1+Parâmetros!F21)</f>
        <v>0</v>
      </c>
      <c r="G50" s="431">
        <f>((D50+E50+F50)/3)*(1+Parâmetros!G21)</f>
        <v>0</v>
      </c>
    </row>
    <row r="51" spans="1:7" ht="30.75" thickBot="1">
      <c r="A51" s="368" t="s">
        <v>583</v>
      </c>
      <c r="B51" s="365">
        <v>0</v>
      </c>
      <c r="C51" s="365">
        <v>0</v>
      </c>
      <c r="D51" s="365">
        <v>0</v>
      </c>
      <c r="E51" s="431">
        <f>((B51+C51+D51)/3)*(1+Parâmetros!E21)</f>
        <v>0</v>
      </c>
      <c r="F51" s="431">
        <f>((C51+D51+E51)/3)*(1+Parâmetros!F21)</f>
        <v>0</v>
      </c>
      <c r="G51" s="431">
        <f>((D51+E51+F51)/3)*(1+Parâmetros!G21)</f>
        <v>0</v>
      </c>
    </row>
    <row r="52" spans="1:7" ht="30.75" thickBot="1">
      <c r="A52" s="368" t="s">
        <v>584</v>
      </c>
      <c r="B52" s="365">
        <v>0</v>
      </c>
      <c r="C52" s="365">
        <v>0</v>
      </c>
      <c r="D52" s="365">
        <v>0</v>
      </c>
      <c r="E52" s="431">
        <f>((B52+C52+D52)/3)*(1+Parâmetros!E21)</f>
        <v>0</v>
      </c>
      <c r="F52" s="431">
        <f>((C52+D52+E52)/3)*(1+Parâmetros!F21)</f>
        <v>0</v>
      </c>
      <c r="G52" s="431">
        <f>((D52+E52+F52)/3)*(1+Parâmetros!G21)</f>
        <v>0</v>
      </c>
    </row>
    <row r="53" spans="1:7" ht="30.75" thickBot="1">
      <c r="A53" s="368" t="s">
        <v>585</v>
      </c>
      <c r="B53" s="365">
        <v>0</v>
      </c>
      <c r="C53" s="365">
        <v>0</v>
      </c>
      <c r="D53" s="365">
        <v>0</v>
      </c>
      <c r="E53" s="431">
        <f>((B53+C53+D53)/3)*(1+Parâmetros!E21)</f>
        <v>0</v>
      </c>
      <c r="F53" s="431">
        <f>((C53+D53+E53)/3)*(1+Parâmetros!F21)</f>
        <v>0</v>
      </c>
      <c r="G53" s="431">
        <f>((D53+E53+F53)/3)*(1+Parâmetros!G21)</f>
        <v>0</v>
      </c>
    </row>
    <row r="54" spans="1:7" ht="30.75" thickBot="1">
      <c r="A54" s="368" t="s">
        <v>586</v>
      </c>
      <c r="B54" s="365">
        <v>0</v>
      </c>
      <c r="C54" s="365">
        <v>0</v>
      </c>
      <c r="D54" s="365">
        <v>0</v>
      </c>
      <c r="E54" s="431">
        <f>((B54+C54+D54)/3)*(1+Parâmetros!E21)</f>
        <v>0</v>
      </c>
      <c r="F54" s="431">
        <f>((C54+D54+E54)/3)*(1+Parâmetros!F21)</f>
        <v>0</v>
      </c>
      <c r="G54" s="431">
        <f>((D54+E54+F54)/3)*(1+Parâmetros!G21)</f>
        <v>0</v>
      </c>
    </row>
    <row r="55" spans="1:7" ht="30">
      <c r="A55" s="369" t="s">
        <v>587</v>
      </c>
      <c r="B55" s="365">
        <v>0</v>
      </c>
      <c r="C55" s="365">
        <v>0</v>
      </c>
      <c r="D55" s="365">
        <v>0</v>
      </c>
      <c r="E55" s="431">
        <f>((B55+C55+D55)/3)*(1+Parâmetros!E21)</f>
        <v>0</v>
      </c>
      <c r="F55" s="431">
        <f>((C55+D55+E55)/3)*(1+Parâmetros!F21)</f>
        <v>0</v>
      </c>
      <c r="G55" s="431">
        <f>((D55+E55+F55)/3)*(1+Parâmetros!G21)</f>
        <v>0</v>
      </c>
    </row>
    <row r="56" spans="1:7" ht="15">
      <c r="A56" s="376" t="s">
        <v>588</v>
      </c>
      <c r="B56" s="377">
        <f aca="true" t="shared" si="7" ref="B56:G56">SUM(B39:B55)</f>
        <v>0</v>
      </c>
      <c r="C56" s="377">
        <f t="shared" si="7"/>
        <v>0</v>
      </c>
      <c r="D56" s="377">
        <f t="shared" si="7"/>
        <v>0</v>
      </c>
      <c r="E56" s="377">
        <f t="shared" si="7"/>
        <v>0</v>
      </c>
      <c r="F56" s="377">
        <f t="shared" si="7"/>
        <v>0</v>
      </c>
      <c r="G56" s="377">
        <f t="shared" si="7"/>
        <v>0</v>
      </c>
    </row>
    <row r="58" spans="1:7" ht="15">
      <c r="A58" s="531" t="s">
        <v>589</v>
      </c>
      <c r="B58" s="358">
        <f>B37</f>
        <v>2017</v>
      </c>
      <c r="C58" s="358">
        <f>B58+1</f>
        <v>2018</v>
      </c>
      <c r="D58" s="358">
        <f>C58+1</f>
        <v>2019</v>
      </c>
      <c r="E58" s="358">
        <f>D58+1</f>
        <v>2020</v>
      </c>
      <c r="F58" s="358">
        <f>E58+1</f>
        <v>2021</v>
      </c>
      <c r="G58" s="358">
        <f>F58+1</f>
        <v>2022</v>
      </c>
    </row>
    <row r="59" spans="1:7" ht="15.75" thickBot="1">
      <c r="A59" s="531"/>
      <c r="B59" s="358" t="s">
        <v>128</v>
      </c>
      <c r="C59" s="358" t="s">
        <v>128</v>
      </c>
      <c r="D59" s="359" t="s">
        <v>128</v>
      </c>
      <c r="E59" s="359" t="s">
        <v>529</v>
      </c>
      <c r="F59" s="359" t="s">
        <v>529</v>
      </c>
      <c r="G59" s="359" t="s">
        <v>529</v>
      </c>
    </row>
    <row r="60" spans="1:7" ht="30.75" thickBot="1">
      <c r="A60" s="378" t="s">
        <v>591</v>
      </c>
      <c r="B60" s="365">
        <v>0</v>
      </c>
      <c r="C60" s="365">
        <v>0</v>
      </c>
      <c r="D60" s="365">
        <v>0</v>
      </c>
      <c r="E60" s="431">
        <f>((B60+C60+D60)/3)*(1+Parâmetros!E21)</f>
        <v>0</v>
      </c>
      <c r="F60" s="431">
        <f>((C60+D60+E60)/3)*(1+Parâmetros!F21)</f>
        <v>0</v>
      </c>
      <c r="G60" s="431">
        <f>((D60+E60+F60)/3)*(1+Parâmetros!G21)</f>
        <v>0</v>
      </c>
    </row>
    <row r="61" spans="1:7" ht="30.75" thickBot="1">
      <c r="A61" s="379" t="s">
        <v>592</v>
      </c>
      <c r="B61" s="365">
        <v>0</v>
      </c>
      <c r="C61" s="365">
        <v>0</v>
      </c>
      <c r="D61" s="365">
        <v>0</v>
      </c>
      <c r="E61" s="431">
        <f>((B61+C61+D61)/3)*(1+Parâmetros!E21)</f>
        <v>0</v>
      </c>
      <c r="F61" s="431">
        <f>((C61+D61+E61)/3)*(1+Parâmetros!F21)</f>
        <v>0</v>
      </c>
      <c r="G61" s="431">
        <f>((D61+E61+F61)/3)*(1+Parâmetros!G21)</f>
        <v>0</v>
      </c>
    </row>
    <row r="62" spans="1:7" ht="30.75" thickBot="1">
      <c r="A62" s="379" t="s">
        <v>593</v>
      </c>
      <c r="B62" s="365">
        <v>0</v>
      </c>
      <c r="C62" s="365">
        <v>0</v>
      </c>
      <c r="D62" s="365">
        <v>0</v>
      </c>
      <c r="E62" s="431">
        <f>((B62+C62+D62)/3)*(1+Parâmetros!E21)</f>
        <v>0</v>
      </c>
      <c r="F62" s="431">
        <f>((C62+D62+E62)/3)*(1+Parâmetros!F21)</f>
        <v>0</v>
      </c>
      <c r="G62" s="431">
        <f>((D62+E62+F62)/3)*(1+Parâmetros!G21)</f>
        <v>0</v>
      </c>
    </row>
    <row r="63" spans="1:7" ht="30.75" thickBot="1">
      <c r="A63" s="379" t="s">
        <v>594</v>
      </c>
      <c r="B63" s="365">
        <v>0</v>
      </c>
      <c r="C63" s="365">
        <v>0</v>
      </c>
      <c r="D63" s="365">
        <v>0</v>
      </c>
      <c r="E63" s="431">
        <f>((B63+C63+D63)/3)*(1+Parâmetros!E21)</f>
        <v>0</v>
      </c>
      <c r="F63" s="431">
        <f>((C63+D63+E63)/3)*(1+Parâmetros!F21)</f>
        <v>0</v>
      </c>
      <c r="G63" s="431">
        <f>((D63+E63+F63)/3)*(1+Parâmetros!G21)</f>
        <v>0</v>
      </c>
    </row>
    <row r="64" spans="1:7" ht="30.75" thickBot="1">
      <c r="A64" s="379" t="s">
        <v>595</v>
      </c>
      <c r="B64" s="365">
        <v>0</v>
      </c>
      <c r="C64" s="365">
        <v>0</v>
      </c>
      <c r="D64" s="365">
        <v>0</v>
      </c>
      <c r="E64" s="431">
        <f>((B64+C64+D64)/3)*(1+Parâmetros!E21)</f>
        <v>0</v>
      </c>
      <c r="F64" s="431">
        <f>((C64+D64+E64)/3)*(1+Parâmetros!F21)</f>
        <v>0</v>
      </c>
      <c r="G64" s="431">
        <f>((D64+E64+F64)/3)*(1+Parâmetros!G21)</f>
        <v>0</v>
      </c>
    </row>
    <row r="65" spans="1:7" ht="30.75" thickBot="1">
      <c r="A65" s="379" t="s">
        <v>596</v>
      </c>
      <c r="B65" s="365">
        <v>0</v>
      </c>
      <c r="C65" s="365">
        <v>0</v>
      </c>
      <c r="D65" s="365">
        <v>0</v>
      </c>
      <c r="E65" s="431">
        <f>((B65+C65+D65)/3)*(1+Parâmetros!E21)</f>
        <v>0</v>
      </c>
      <c r="F65" s="431">
        <f>((C65+D65+E65)/3)*(1+Parâmetros!F21)</f>
        <v>0</v>
      </c>
      <c r="G65" s="431">
        <f>((D65+E65+F65)/3)*(1+Parâmetros!G21)</f>
        <v>0</v>
      </c>
    </row>
    <row r="66" spans="1:7" ht="30.75" thickBot="1">
      <c r="A66" s="379" t="s">
        <v>597</v>
      </c>
      <c r="B66" s="365">
        <v>0</v>
      </c>
      <c r="C66" s="365">
        <v>0</v>
      </c>
      <c r="D66" s="365">
        <v>0</v>
      </c>
      <c r="E66" s="431">
        <f>((B66+C66+D66)/3)*(1+Parâmetros!E21)</f>
        <v>0</v>
      </c>
      <c r="F66" s="431">
        <f>((C66+D66+E66)/3)*(1+Parâmetros!F21)</f>
        <v>0</v>
      </c>
      <c r="G66" s="431">
        <f>((D66+E66+F66)/3)*(1+Parâmetros!G21)</f>
        <v>0</v>
      </c>
    </row>
    <row r="67" spans="1:7" ht="30.75" thickBot="1">
      <c r="A67" s="379" t="s">
        <v>598</v>
      </c>
      <c r="B67" s="365">
        <v>0</v>
      </c>
      <c r="C67" s="365">
        <v>0</v>
      </c>
      <c r="D67" s="365">
        <v>0</v>
      </c>
      <c r="E67" s="431">
        <f>((B67+C67+D67)/3)*(1+Parâmetros!E21)</f>
        <v>0</v>
      </c>
      <c r="F67" s="431">
        <f>((C67+D67+E67)/3)*(1+Parâmetros!F21)</f>
        <v>0</v>
      </c>
      <c r="G67" s="431">
        <f>((D67+E67+F67)/3)*(1+Parâmetros!G21)</f>
        <v>0</v>
      </c>
    </row>
    <row r="68" spans="1:7" ht="30.75" thickBot="1">
      <c r="A68" s="379" t="s">
        <v>599</v>
      </c>
      <c r="B68" s="365">
        <v>0</v>
      </c>
      <c r="C68" s="365">
        <v>0</v>
      </c>
      <c r="D68" s="365">
        <v>0</v>
      </c>
      <c r="E68" s="431">
        <f>((B68+C68+D68)/3)*(1+Parâmetros!E21)</f>
        <v>0</v>
      </c>
      <c r="F68" s="431">
        <f>((C68+D68+E68)/3)*(1+Parâmetros!F21)</f>
        <v>0</v>
      </c>
      <c r="G68" s="431">
        <f>((D68+E68+F68)/3)*(1+Parâmetros!G21)</f>
        <v>0</v>
      </c>
    </row>
    <row r="69" spans="1:7" ht="30.75" thickBot="1">
      <c r="A69" s="379" t="s">
        <v>600</v>
      </c>
      <c r="B69" s="365">
        <v>0</v>
      </c>
      <c r="C69" s="365">
        <v>0</v>
      </c>
      <c r="D69" s="365">
        <v>0</v>
      </c>
      <c r="E69" s="431">
        <f>((B69+C69+D69)/3)*(1+Parâmetros!E21)</f>
        <v>0</v>
      </c>
      <c r="F69" s="431">
        <f>((C69+D69+E69)/3)*(1+Parâmetros!F21)</f>
        <v>0</v>
      </c>
      <c r="G69" s="431">
        <f>((D69+E69+F69)/3)*(1+Parâmetros!G21)</f>
        <v>0</v>
      </c>
    </row>
    <row r="70" spans="1:7" ht="30.75" thickBot="1">
      <c r="A70" s="379" t="s">
        <v>601</v>
      </c>
      <c r="B70" s="365">
        <v>0</v>
      </c>
      <c r="C70" s="365">
        <v>0</v>
      </c>
      <c r="D70" s="365">
        <v>0</v>
      </c>
      <c r="E70" s="431">
        <f>((B70+C70+D70)/3)*(1+Parâmetros!E21)</f>
        <v>0</v>
      </c>
      <c r="F70" s="431">
        <f>((C70+D70+E70)/3)*(1+Parâmetros!F21)</f>
        <v>0</v>
      </c>
      <c r="G70" s="431">
        <f>((D70+E70+F70)/3)*(1+Parâmetros!G21)</f>
        <v>0</v>
      </c>
    </row>
    <row r="71" spans="1:7" ht="30.75" thickBot="1">
      <c r="A71" s="379" t="s">
        <v>602</v>
      </c>
      <c r="B71" s="365">
        <v>0</v>
      </c>
      <c r="C71" s="365">
        <v>0</v>
      </c>
      <c r="D71" s="365">
        <v>0</v>
      </c>
      <c r="E71" s="431">
        <f>((B71+C71+D71)/3)*(1+Parâmetros!E21)</f>
        <v>0</v>
      </c>
      <c r="F71" s="431">
        <f>((C71+D71+E71)/3)*(1+Parâmetros!F21)</f>
        <v>0</v>
      </c>
      <c r="G71" s="431">
        <f>((D71+E71+F71)/3)*(1+Parâmetros!G21)</f>
        <v>0</v>
      </c>
    </row>
    <row r="72" spans="1:7" ht="30.75" thickBot="1">
      <c r="A72" s="379" t="s">
        <v>603</v>
      </c>
      <c r="B72" s="365">
        <v>0</v>
      </c>
      <c r="C72" s="365">
        <v>0</v>
      </c>
      <c r="D72" s="365">
        <v>0</v>
      </c>
      <c r="E72" s="431">
        <f>((B72+C72+D72)/3)*(1+Parâmetros!E21)</f>
        <v>0</v>
      </c>
      <c r="F72" s="431">
        <f>((C72+D72+E72)/3)*(1+Parâmetros!F21)</f>
        <v>0</v>
      </c>
      <c r="G72" s="431">
        <f>((D72+E72+F72)/3)*(1+Parâmetros!G21)</f>
        <v>0</v>
      </c>
    </row>
    <row r="73" spans="1:7" ht="30.75" thickBot="1">
      <c r="A73" s="379" t="s">
        <v>604</v>
      </c>
      <c r="B73" s="365">
        <v>0</v>
      </c>
      <c r="C73" s="365">
        <v>0</v>
      </c>
      <c r="D73" s="365">
        <v>0</v>
      </c>
      <c r="E73" s="431">
        <f>((B73+C73+D73)/3)*(1+Parâmetros!E21)</f>
        <v>0</v>
      </c>
      <c r="F73" s="431">
        <f>((C73+D73+E73)/3)*(1+Parâmetros!F21)</f>
        <v>0</v>
      </c>
      <c r="G73" s="431">
        <f>((D73+E73+F73)/3)*(1+Parâmetros!G21)</f>
        <v>0</v>
      </c>
    </row>
    <row r="74" spans="1:7" ht="30.75" thickBot="1">
      <c r="A74" s="379" t="s">
        <v>605</v>
      </c>
      <c r="B74" s="365">
        <v>0</v>
      </c>
      <c r="C74" s="365">
        <v>0</v>
      </c>
      <c r="D74" s="365">
        <v>0</v>
      </c>
      <c r="E74" s="431">
        <f>((B74+C74+D74)/3)*(1+Parâmetros!E21)</f>
        <v>0</v>
      </c>
      <c r="F74" s="431">
        <f>((C74+D74+E74)/3)*(1+Parâmetros!F21)</f>
        <v>0</v>
      </c>
      <c r="G74" s="431">
        <f>((D74+E74+F74)/3)*(1+Parâmetros!G21)</f>
        <v>0</v>
      </c>
    </row>
    <row r="75" spans="1:7" ht="30.75" thickBot="1">
      <c r="A75" s="379" t="s">
        <v>606</v>
      </c>
      <c r="B75" s="365">
        <v>0</v>
      </c>
      <c r="C75" s="365">
        <v>0</v>
      </c>
      <c r="D75" s="365">
        <v>0</v>
      </c>
      <c r="E75" s="431">
        <f>((B75+C75+D75)/3)*(1+Parâmetros!E21)</f>
        <v>0</v>
      </c>
      <c r="F75" s="431">
        <f>((C75+D75+E75)/3)*(1+Parâmetros!F21)</f>
        <v>0</v>
      </c>
      <c r="G75" s="431">
        <f>((D75+E75+F75)/3)*(1+Parâmetros!G21)</f>
        <v>0</v>
      </c>
    </row>
    <row r="76" spans="1:7" ht="30.75" thickBot="1">
      <c r="A76" s="379" t="s">
        <v>607</v>
      </c>
      <c r="B76" s="365">
        <v>0</v>
      </c>
      <c r="C76" s="365">
        <v>0</v>
      </c>
      <c r="D76" s="365">
        <v>0</v>
      </c>
      <c r="E76" s="431">
        <f>((B76+C76+D76)/3)*(1+Parâmetros!E21)</f>
        <v>0</v>
      </c>
      <c r="F76" s="431">
        <f>((C76+D76+E76)/3)*(1+Parâmetros!F21)</f>
        <v>0</v>
      </c>
      <c r="G76" s="431">
        <f>((D76+E76+F76)/3)*(1+Parâmetros!G21)</f>
        <v>0</v>
      </c>
    </row>
    <row r="77" spans="1:7" ht="15">
      <c r="A77" s="376" t="s">
        <v>590</v>
      </c>
      <c r="B77" s="377">
        <f aca="true" t="shared" si="8" ref="B77:G77">SUM(B60:B76)</f>
        <v>0</v>
      </c>
      <c r="C77" s="377">
        <f t="shared" si="8"/>
        <v>0</v>
      </c>
      <c r="D77" s="377">
        <f t="shared" si="8"/>
        <v>0</v>
      </c>
      <c r="E77" s="377">
        <f t="shared" si="8"/>
        <v>0</v>
      </c>
      <c r="F77" s="377">
        <f t="shared" si="8"/>
        <v>0</v>
      </c>
      <c r="G77" s="377">
        <f t="shared" si="8"/>
        <v>0</v>
      </c>
    </row>
    <row r="79" spans="1:7" ht="15">
      <c r="A79" s="380" t="s">
        <v>608</v>
      </c>
      <c r="B79" s="381">
        <f aca="true" t="shared" si="9" ref="B79:G79">B35+B56-B77</f>
        <v>1628831.8360000066</v>
      </c>
      <c r="C79" s="381">
        <f t="shared" si="9"/>
        <v>1233405.4439999983</v>
      </c>
      <c r="D79" s="381">
        <f t="shared" si="9"/>
        <v>746109.0659999922</v>
      </c>
      <c r="E79" s="381">
        <f t="shared" si="9"/>
        <v>605496.5333582275</v>
      </c>
      <c r="F79" s="381">
        <f t="shared" si="9"/>
        <v>403083.69528166205</v>
      </c>
      <c r="G79" s="381">
        <f t="shared" si="9"/>
        <v>122215.65238074213</v>
      </c>
    </row>
  </sheetData>
  <sheetProtection/>
  <mergeCells count="7">
    <mergeCell ref="A58:A59"/>
    <mergeCell ref="A5:A6"/>
    <mergeCell ref="A21:A22"/>
    <mergeCell ref="A37:A38"/>
    <mergeCell ref="A1:G1"/>
    <mergeCell ref="A2:G2"/>
    <mergeCell ref="A3:G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/>
  <dimension ref="A1:M22"/>
  <sheetViews>
    <sheetView view="pageBreakPreview" zoomScaleNormal="80" zoomScaleSheetLayoutView="100" workbookViewId="0" topLeftCell="A1">
      <selection activeCell="P16" sqref="P16"/>
    </sheetView>
  </sheetViews>
  <sheetFormatPr defaultColWidth="9.140625" defaultRowHeight="12.75"/>
  <cols>
    <col min="1" max="1" width="37.8515625" style="109" customWidth="1"/>
    <col min="2" max="2" width="16.00390625" style="109" customWidth="1"/>
    <col min="3" max="3" width="14.7109375" style="109" customWidth="1"/>
    <col min="4" max="4" width="7.28125" style="109" customWidth="1"/>
    <col min="5" max="5" width="9.7109375" style="109" customWidth="1"/>
    <col min="6" max="6" width="15.421875" style="109" customWidth="1"/>
    <col min="7" max="7" width="14.00390625" style="109" customWidth="1"/>
    <col min="8" max="8" width="7.28125" style="109" customWidth="1"/>
    <col min="9" max="9" width="8.57421875" style="109" customWidth="1"/>
    <col min="10" max="10" width="14.57421875" style="109" customWidth="1"/>
    <col min="11" max="11" width="14.8515625" style="109" customWidth="1"/>
    <col min="12" max="12" width="5.28125" style="109" customWidth="1"/>
    <col min="13" max="13" width="8.7109375" style="109" customWidth="1"/>
    <col min="14" max="16384" width="9.140625" style="109" customWidth="1"/>
  </cols>
  <sheetData>
    <row r="1" spans="1:13" ht="12.75">
      <c r="A1" s="556" t="str">
        <f>Parâmetros!A7</f>
        <v>Município de : BARRA DO QUARAI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4"/>
    </row>
    <row r="2" spans="1:13" s="11" customFormat="1" ht="12.75">
      <c r="A2" s="552" t="s">
        <v>36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4"/>
    </row>
    <row r="3" spans="1:13" ht="12.75">
      <c r="A3" s="552" t="s">
        <v>499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4"/>
    </row>
    <row r="4" spans="1:13" ht="12.75">
      <c r="A4" s="557" t="s">
        <v>500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9"/>
    </row>
    <row r="5" spans="1:13" s="11" customFormat="1" ht="17.25" customHeight="1">
      <c r="A5" s="552" t="s">
        <v>662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4"/>
    </row>
    <row r="6" spans="1:13" ht="12.75">
      <c r="A6" s="563" t="s">
        <v>514</v>
      </c>
      <c r="B6" s="564"/>
      <c r="C6" s="564"/>
      <c r="D6" s="565"/>
      <c r="E6" s="349"/>
      <c r="F6" s="555"/>
      <c r="G6" s="555"/>
      <c r="H6" s="555"/>
      <c r="I6" s="349"/>
      <c r="J6" s="539">
        <v>1</v>
      </c>
      <c r="K6" s="540"/>
      <c r="L6" s="540"/>
      <c r="M6" s="540"/>
    </row>
    <row r="7" spans="1:13" s="12" customFormat="1" ht="12.75">
      <c r="A7" s="542" t="s">
        <v>56</v>
      </c>
      <c r="B7" s="543">
        <f>Parâmetros!E10</f>
        <v>2020</v>
      </c>
      <c r="C7" s="544"/>
      <c r="D7" s="544"/>
      <c r="E7" s="545"/>
      <c r="F7" s="560">
        <f>B7+1</f>
        <v>2021</v>
      </c>
      <c r="G7" s="561"/>
      <c r="H7" s="561"/>
      <c r="I7" s="562"/>
      <c r="J7" s="542">
        <f>F7+1</f>
        <v>2022</v>
      </c>
      <c r="K7" s="542"/>
      <c r="L7" s="542"/>
      <c r="M7" s="542"/>
    </row>
    <row r="8" spans="1:13" ht="15.75" customHeight="1">
      <c r="A8" s="542"/>
      <c r="B8" s="546" t="s">
        <v>397</v>
      </c>
      <c r="C8" s="549" t="s">
        <v>516</v>
      </c>
      <c r="D8" s="201" t="s">
        <v>58</v>
      </c>
      <c r="E8" s="201" t="s">
        <v>398</v>
      </c>
      <c r="F8" s="546" t="s">
        <v>517</v>
      </c>
      <c r="G8" s="549" t="s">
        <v>518</v>
      </c>
      <c r="H8" s="201" t="s">
        <v>58</v>
      </c>
      <c r="I8" s="201" t="s">
        <v>398</v>
      </c>
      <c r="J8" s="546" t="s">
        <v>519</v>
      </c>
      <c r="K8" s="546" t="s">
        <v>518</v>
      </c>
      <c r="L8" s="386" t="s">
        <v>58</v>
      </c>
      <c r="M8" s="201" t="s">
        <v>398</v>
      </c>
    </row>
    <row r="9" spans="1:13" s="11" customFormat="1" ht="15.75" customHeight="1">
      <c r="A9" s="542"/>
      <c r="B9" s="547"/>
      <c r="C9" s="550"/>
      <c r="D9" s="201" t="s">
        <v>61</v>
      </c>
      <c r="E9" s="201" t="s">
        <v>399</v>
      </c>
      <c r="F9" s="547"/>
      <c r="G9" s="550"/>
      <c r="H9" s="201" t="s">
        <v>62</v>
      </c>
      <c r="I9" s="201" t="s">
        <v>417</v>
      </c>
      <c r="J9" s="547"/>
      <c r="K9" s="547"/>
      <c r="L9" s="386" t="s">
        <v>63</v>
      </c>
      <c r="M9" s="201" t="s">
        <v>418</v>
      </c>
    </row>
    <row r="10" spans="1:13" s="11" customFormat="1" ht="15.75" customHeight="1">
      <c r="A10" s="542"/>
      <c r="B10" s="548"/>
      <c r="C10" s="551"/>
      <c r="D10" s="201" t="s">
        <v>65</v>
      </c>
      <c r="E10" s="201" t="s">
        <v>65</v>
      </c>
      <c r="F10" s="548"/>
      <c r="G10" s="551"/>
      <c r="H10" s="201" t="s">
        <v>65</v>
      </c>
      <c r="I10" s="201" t="s">
        <v>65</v>
      </c>
      <c r="J10" s="548"/>
      <c r="K10" s="548"/>
      <c r="L10" s="386" t="s">
        <v>65</v>
      </c>
      <c r="M10" s="201" t="s">
        <v>65</v>
      </c>
    </row>
    <row r="11" spans="1:13" s="11" customFormat="1" ht="12.75">
      <c r="A11" s="387" t="s">
        <v>68</v>
      </c>
      <c r="B11" s="347">
        <f>'RPrim-Nom'!E7+'RPrim-Nom'!E13</f>
        <v>24001388.3354281</v>
      </c>
      <c r="C11" s="347">
        <f>B11/(1+Parâmetros!E11)</f>
        <v>23078258.01483471</v>
      </c>
      <c r="D11" s="536" t="s">
        <v>634</v>
      </c>
      <c r="E11" s="388">
        <f>B11/RCL!D14</f>
        <v>1.007501034921052</v>
      </c>
      <c r="F11" s="347">
        <f>'RPrim-Nom'!F7+'RPrim-Nom'!F13</f>
        <v>25824994.64311833</v>
      </c>
      <c r="G11" s="347">
        <f>F11/((1+Parâmetros!E11)*(1+Parâmetros!F11))</f>
        <v>23876659.248445198</v>
      </c>
      <c r="H11" s="536" t="s">
        <v>634</v>
      </c>
      <c r="I11" s="388">
        <f>F11/RCL!E14</f>
        <v>1.0072651134760071</v>
      </c>
      <c r="J11" s="347">
        <f>'RPrim-Nom'!G7+'RPrim-Nom'!G13</f>
        <v>27898226.185569905</v>
      </c>
      <c r="K11" s="347">
        <f>J11/((1+Parâmetros!E11)*(1+Parâmetros!F11)*(1+Parâmetros!G11))</f>
        <v>24777596.879964627</v>
      </c>
      <c r="L11" s="536" t="s">
        <v>634</v>
      </c>
      <c r="M11" s="388">
        <f>J11/RCL!F14</f>
        <v>1.007121268679947</v>
      </c>
    </row>
    <row r="12" spans="1:13" s="11" customFormat="1" ht="12.75">
      <c r="A12" s="387" t="s">
        <v>121</v>
      </c>
      <c r="B12" s="347">
        <f>'RPrim-Nom'!E19</f>
        <v>23952428.31737091</v>
      </c>
      <c r="C12" s="347">
        <f>B12/(1+Parâmetros!E11)</f>
        <v>23031181.074395105</v>
      </c>
      <c r="D12" s="537"/>
      <c r="E12" s="388">
        <f>B12/RCL!D14</f>
        <v>1.0054458509386504</v>
      </c>
      <c r="F12" s="347">
        <f>'RPrim-Nom'!F19</f>
        <v>25773617.958569836</v>
      </c>
      <c r="G12" s="347">
        <f>F12/((1+Parâmetros!E11)*(1+Parâmetros!F11))</f>
        <v>23829158.615541637</v>
      </c>
      <c r="H12" s="537"/>
      <c r="I12" s="388">
        <f>F12/RCL!E14</f>
        <v>1.0052612430897048</v>
      </c>
      <c r="J12" s="347">
        <f>'RPrim-Nom'!G19</f>
        <v>27844208.225668773</v>
      </c>
      <c r="K12" s="347">
        <f>J12/((1+Parâmetros!E11)*(1+Parâmetros!F11)*(1+Parâmetros!G11))</f>
        <v>24729621.24073203</v>
      </c>
      <c r="L12" s="537"/>
      <c r="M12" s="388">
        <f>J12/RCL!F14</f>
        <v>1.0051712294213482</v>
      </c>
    </row>
    <row r="13" spans="1:13" s="11" customFormat="1" ht="12.75">
      <c r="A13" s="387" t="s">
        <v>69</v>
      </c>
      <c r="B13" s="347">
        <f>'RPrim-Nom'!E23+'RPrim-Nom'!E27</f>
        <v>23907768.523584023</v>
      </c>
      <c r="C13" s="347">
        <f>B13/(1+Parâmetros!E11)</f>
        <v>22988238.964984637</v>
      </c>
      <c r="D13" s="537"/>
      <c r="E13" s="388">
        <f>B13/RCL!D14</f>
        <v>1.0035711765310358</v>
      </c>
      <c r="F13" s="347">
        <f>'RPrim-Nom'!F23+'RPrim-Nom'!F27</f>
        <v>25953804.472442366</v>
      </c>
      <c r="G13" s="347">
        <f>F13/((1+Parâmetros!E11)*(1+Parâmetros!F11))</f>
        <v>23995751.176444493</v>
      </c>
      <c r="H13" s="537"/>
      <c r="I13" s="388">
        <f>F13/RCL!E14</f>
        <v>1.0122891473294071</v>
      </c>
      <c r="J13" s="347">
        <f>'RPrim-Nom'!G23+'RPrim-Nom'!G27</f>
        <v>28329176.861017548</v>
      </c>
      <c r="K13" s="347">
        <f>J13/((1+Parâmetros!E11)*(1+Parâmetros!F11)*(1+Parâmetros!G11))</f>
        <v>25160342.436630636</v>
      </c>
      <c r="L13" s="537"/>
      <c r="M13" s="388">
        <f>J13/RCL!F14</f>
        <v>1.0226785155137905</v>
      </c>
    </row>
    <row r="14" spans="1:13" s="11" customFormat="1" ht="12.75">
      <c r="A14" s="387" t="s">
        <v>122</v>
      </c>
      <c r="B14" s="347">
        <f>'RPrim-Nom'!E33</f>
        <v>23346931.784012683</v>
      </c>
      <c r="C14" s="347">
        <f>B14/(1+Parâmetros!E11)</f>
        <v>22448972.869242962</v>
      </c>
      <c r="D14" s="537"/>
      <c r="E14" s="388">
        <f>B14/RCL!D14</f>
        <v>0.9800290552319182</v>
      </c>
      <c r="F14" s="347">
        <f>'RPrim-Nom'!F33</f>
        <v>25370534.263288174</v>
      </c>
      <c r="G14" s="347">
        <f>F14/((1+Parâmetros!E11)*(1+Parâmetros!F11))</f>
        <v>23456485.080702823</v>
      </c>
      <c r="H14" s="537"/>
      <c r="I14" s="388">
        <f>F14/RCL!E14</f>
        <v>0.9895395691966803</v>
      </c>
      <c r="J14" s="347">
        <f>'RPrim-Nom'!G33</f>
        <v>27721992.57328803</v>
      </c>
      <c r="K14" s="347">
        <f>J14/((1+Parâmetros!E11)*(1+Parâmetros!F11)*(1+Parâmetros!G11))</f>
        <v>24621076.340888962</v>
      </c>
      <c r="L14" s="537"/>
      <c r="M14" s="388">
        <f>J14/RCL!F14</f>
        <v>1.0007592649452013</v>
      </c>
    </row>
    <row r="15" spans="1:13" s="11" customFormat="1" ht="12.75">
      <c r="A15" s="387" t="s">
        <v>70</v>
      </c>
      <c r="B15" s="347">
        <f>B12-B14</f>
        <v>605496.5333582275</v>
      </c>
      <c r="C15" s="347">
        <f>B15/(1+Parâmetros!E11)</f>
        <v>582208.2051521417</v>
      </c>
      <c r="D15" s="537"/>
      <c r="E15" s="388">
        <f>B15/RCL!D14</f>
        <v>0.025416795706732293</v>
      </c>
      <c r="F15" s="347">
        <f>F12-F14</f>
        <v>403083.69528166205</v>
      </c>
      <c r="G15" s="347">
        <f>F15/((1+Parâmetros!E11)*(1+Parâmetros!F11))</f>
        <v>372673.5348388147</v>
      </c>
      <c r="H15" s="537"/>
      <c r="I15" s="388">
        <f>F15/RCL!E14</f>
        <v>0.01572167389302452</v>
      </c>
      <c r="J15" s="347">
        <f>J12-J14</f>
        <v>122215.65238074213</v>
      </c>
      <c r="K15" s="347">
        <f>J15/((1+Parâmetros!E11)*(1+Parâmetros!F11)*(1+Parâmetros!G11))</f>
        <v>108544.89984306712</v>
      </c>
      <c r="L15" s="537"/>
      <c r="M15" s="388">
        <f>J15/RCL!F14</f>
        <v>0.0044119644761467115</v>
      </c>
    </row>
    <row r="16" spans="1:13" s="11" customFormat="1" ht="12.75">
      <c r="A16" s="387" t="s">
        <v>71</v>
      </c>
      <c r="B16" s="347">
        <f>'RPrim-Nom'!E79</f>
        <v>605496.5333582275</v>
      </c>
      <c r="C16" s="347">
        <f>B16/(1+Parâmetros!E11)</f>
        <v>582208.2051521417</v>
      </c>
      <c r="D16" s="537"/>
      <c r="E16" s="388">
        <f>B16/RCL!D14</f>
        <v>0.025416795706732293</v>
      </c>
      <c r="F16" s="347">
        <f>'RPrim-Nom'!F79</f>
        <v>403083.69528166205</v>
      </c>
      <c r="G16" s="347">
        <f>F16/((1+Parâmetros!E11)*(1+Parâmetros!F11))</f>
        <v>372673.5348388147</v>
      </c>
      <c r="H16" s="537"/>
      <c r="I16" s="388">
        <f>F16/RCL!E14</f>
        <v>0.01572167389302452</v>
      </c>
      <c r="J16" s="347">
        <f>'RPrim-Nom'!G79</f>
        <v>122215.65238074213</v>
      </c>
      <c r="K16" s="347">
        <f>J16/((1+Parâmetros!E11)*(1+Parâmetros!F11)*(1+Parâmetros!G11))</f>
        <v>108544.89984306712</v>
      </c>
      <c r="L16" s="537"/>
      <c r="M16" s="388">
        <f>J16/RCL!F14</f>
        <v>0.0044119644761467115</v>
      </c>
    </row>
    <row r="17" spans="1:13" s="11" customFormat="1" ht="12.75">
      <c r="A17" s="387" t="s">
        <v>72</v>
      </c>
      <c r="B17" s="347">
        <f>Dívida!E7</f>
        <v>723368.7666666667</v>
      </c>
      <c r="C17" s="347">
        <f>B17/(1+Parâmetros!E11)</f>
        <v>695546.891025641</v>
      </c>
      <c r="D17" s="537"/>
      <c r="E17" s="388">
        <f>B17/RCL!D14</f>
        <v>0.03036469269448336</v>
      </c>
      <c r="F17" s="347">
        <f>Dívida!F7</f>
        <v>617572.6955555556</v>
      </c>
      <c r="G17" s="347">
        <f>F17/((1+Parâmetros!E11)*(1+Parâmetros!F11))</f>
        <v>570980.6726660092</v>
      </c>
      <c r="H17" s="537"/>
      <c r="I17" s="388">
        <f>F17/RCL!E14</f>
        <v>0.024087495074629667</v>
      </c>
      <c r="J17" s="347">
        <f>Dívida!G7</f>
        <v>610193.3807407408</v>
      </c>
      <c r="K17" s="347">
        <f>J17/((1+Parâmetros!E11)*(1+Parâmetros!F11)*(1+Parâmetros!G11))</f>
        <v>541938.5987571165</v>
      </c>
      <c r="L17" s="537"/>
      <c r="M17" s="388">
        <f>J17/RCL!F14</f>
        <v>0.02202787831971859</v>
      </c>
    </row>
    <row r="18" spans="1:13" s="11" customFormat="1" ht="12.75">
      <c r="A18" s="387" t="s">
        <v>73</v>
      </c>
      <c r="B18" s="347">
        <f>Dívida!E15</f>
        <v>-305358.32666666666</v>
      </c>
      <c r="C18" s="347">
        <f>B18/(1+Parâmetros!E11)</f>
        <v>-293613.7756410256</v>
      </c>
      <c r="D18" s="537"/>
      <c r="E18" s="388">
        <f>B18/RCL!D14</f>
        <v>-0.012817959771281705</v>
      </c>
      <c r="F18" s="347">
        <f>Dívida!F15</f>
        <v>-368843.24888888886</v>
      </c>
      <c r="G18" s="347">
        <f>F18/((1+Parâmetros!E11)*(1+Parâmetros!F11))</f>
        <v>-341016.317389875</v>
      </c>
      <c r="H18" s="537"/>
      <c r="I18" s="388">
        <f>F18/RCL!E14</f>
        <v>-0.014386176728440355</v>
      </c>
      <c r="J18" s="347">
        <f>Dívida!G15</f>
        <v>-386184.04518518527</v>
      </c>
      <c r="K18" s="347">
        <f>J18/((1+Parâmetros!E11)*(1+Parâmetros!F11)*(1+Parâmetros!G11))</f>
        <v>-342986.4153163219</v>
      </c>
      <c r="L18" s="537"/>
      <c r="M18" s="388">
        <f>J18/RCL!F14</f>
        <v>-0.013941179017755267</v>
      </c>
    </row>
    <row r="19" spans="1:13" s="11" customFormat="1" ht="12.75">
      <c r="A19" s="387" t="s">
        <v>214</v>
      </c>
      <c r="B19" s="347">
        <v>0</v>
      </c>
      <c r="C19" s="347">
        <f>B19/(1+Parâmetros!E11)</f>
        <v>0</v>
      </c>
      <c r="D19" s="537"/>
      <c r="E19" s="388">
        <f>B19/RCL!D14</f>
        <v>0</v>
      </c>
      <c r="F19" s="347">
        <v>0</v>
      </c>
      <c r="G19" s="347">
        <f>F19/((1+Parâmetros!E11)*(1+Parâmetros!F11))</f>
        <v>0</v>
      </c>
      <c r="H19" s="537"/>
      <c r="I19" s="388">
        <f>F19/RCL!E14</f>
        <v>0</v>
      </c>
      <c r="J19" s="347">
        <v>0</v>
      </c>
      <c r="K19" s="347">
        <f>J19/((1+Parâmetros!E11)*(1+Parâmetros!F11)*(1+Parâmetros!G11))</f>
        <v>0</v>
      </c>
      <c r="L19" s="537"/>
      <c r="M19" s="388">
        <f>J19/RCL!F14</f>
        <v>0</v>
      </c>
    </row>
    <row r="20" spans="1:13" s="11" customFormat="1" ht="12.75">
      <c r="A20" s="387" t="s">
        <v>215</v>
      </c>
      <c r="B20" s="347">
        <v>0</v>
      </c>
      <c r="C20" s="347">
        <f>B20/(1+Parâmetros!E11)</f>
        <v>0</v>
      </c>
      <c r="D20" s="537"/>
      <c r="E20" s="388">
        <f>B20/RCL!D14</f>
        <v>0</v>
      </c>
      <c r="F20" s="347">
        <v>0</v>
      </c>
      <c r="G20" s="347">
        <f>F20/((1+Parâmetros!E11)*(1+Parâmetros!F11))</f>
        <v>0</v>
      </c>
      <c r="H20" s="537"/>
      <c r="I20" s="388">
        <f>F20/RCL!E14</f>
        <v>0</v>
      </c>
      <c r="J20" s="347">
        <v>0</v>
      </c>
      <c r="K20" s="347">
        <f>J20/((1+Parâmetros!E11)*(1+Parâmetros!F11)*(1+Parâmetros!G11))</f>
        <v>0</v>
      </c>
      <c r="L20" s="537"/>
      <c r="M20" s="388">
        <f>J20/RCL!F14</f>
        <v>0</v>
      </c>
    </row>
    <row r="21" spans="1:13" s="11" customFormat="1" ht="12.75">
      <c r="A21" s="387" t="s">
        <v>216</v>
      </c>
      <c r="B21" s="347">
        <v>0</v>
      </c>
      <c r="C21" s="347">
        <f>B21/(1+Parâmetros!E11)</f>
        <v>0</v>
      </c>
      <c r="D21" s="538"/>
      <c r="E21" s="388">
        <f>B21/RCL!D14</f>
        <v>0</v>
      </c>
      <c r="F21" s="347">
        <v>0</v>
      </c>
      <c r="G21" s="347">
        <f>F21/((1+Parâmetros!E11)*(1+Parâmetros!F11))</f>
        <v>0</v>
      </c>
      <c r="H21" s="538"/>
      <c r="I21" s="388">
        <f>F21/RCL!E14</f>
        <v>0</v>
      </c>
      <c r="J21" s="347">
        <v>0</v>
      </c>
      <c r="K21" s="347">
        <f>J21/((1+Parâmetros!E11)*(1+Parâmetros!F11)*(1+Parâmetros!G11))</f>
        <v>0</v>
      </c>
      <c r="L21" s="538"/>
      <c r="M21" s="388">
        <f>J21/RCL!F14</f>
        <v>0</v>
      </c>
    </row>
    <row r="22" spans="1:13" ht="12.75">
      <c r="A22" s="541" t="s">
        <v>515</v>
      </c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</row>
    <row r="23" s="110" customFormat="1" ht="15" customHeight="1"/>
  </sheetData>
  <sheetProtection/>
  <mergeCells count="22">
    <mergeCell ref="A1:M1"/>
    <mergeCell ref="A2:M2"/>
    <mergeCell ref="A3:M3"/>
    <mergeCell ref="A4:M4"/>
    <mergeCell ref="F7:I7"/>
    <mergeCell ref="A6:D6"/>
    <mergeCell ref="K8:K10"/>
    <mergeCell ref="A5:M5"/>
    <mergeCell ref="F8:F10"/>
    <mergeCell ref="G8:G10"/>
    <mergeCell ref="J7:M7"/>
    <mergeCell ref="F6:H6"/>
    <mergeCell ref="D11:D21"/>
    <mergeCell ref="H11:H21"/>
    <mergeCell ref="J6:M6"/>
    <mergeCell ref="L11:L21"/>
    <mergeCell ref="A22:M22"/>
    <mergeCell ref="A7:A10"/>
    <mergeCell ref="B7:E7"/>
    <mergeCell ref="B8:B10"/>
    <mergeCell ref="C8:C10"/>
    <mergeCell ref="J8:J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SheetLayoutView="90" zoomScalePageLayoutView="0" workbookViewId="0" topLeftCell="A1">
      <selection activeCell="A1" sqref="A1:J22"/>
    </sheetView>
  </sheetViews>
  <sheetFormatPr defaultColWidth="9.140625" defaultRowHeight="12.75"/>
  <cols>
    <col min="1" max="1" width="30.00390625" style="13" customWidth="1"/>
    <col min="2" max="2" width="12.140625" style="13" customWidth="1"/>
    <col min="3" max="3" width="13.421875" style="13" customWidth="1"/>
    <col min="4" max="4" width="12.140625" style="13" customWidth="1"/>
    <col min="5" max="6" width="12.8515625" style="13" customWidth="1"/>
    <col min="7" max="7" width="10.7109375" style="13" customWidth="1"/>
    <col min="8" max="8" width="12.8515625" style="13" customWidth="1"/>
    <col min="9" max="9" width="13.140625" style="13" customWidth="1"/>
    <col min="10" max="10" width="10.140625" style="13" customWidth="1"/>
    <col min="11" max="16384" width="9.140625" style="13" customWidth="1"/>
  </cols>
  <sheetData>
    <row r="1" spans="1:10" ht="14.25">
      <c r="A1" s="569" t="str">
        <f>Parâmetros!A7</f>
        <v>Município de : BARRA DO QUARAI</v>
      </c>
      <c r="B1" s="567"/>
      <c r="C1" s="567"/>
      <c r="D1" s="567"/>
      <c r="E1" s="567"/>
      <c r="F1" s="567"/>
      <c r="G1" s="567"/>
      <c r="H1" s="567"/>
      <c r="I1" s="567"/>
      <c r="J1" s="568"/>
    </row>
    <row r="2" spans="1:10" ht="14.25">
      <c r="A2" s="566" t="s">
        <v>36</v>
      </c>
      <c r="B2" s="567"/>
      <c r="C2" s="567"/>
      <c r="D2" s="567"/>
      <c r="E2" s="567"/>
      <c r="F2" s="567"/>
      <c r="G2" s="567"/>
      <c r="H2" s="567"/>
      <c r="I2" s="567"/>
      <c r="J2" s="568"/>
    </row>
    <row r="3" spans="1:10" ht="14.25">
      <c r="A3" s="566" t="str">
        <f>'Metas Cons'!A3:M3</f>
        <v>ANEXO DE METAS FISCAIS</v>
      </c>
      <c r="B3" s="567"/>
      <c r="C3" s="567"/>
      <c r="D3" s="567"/>
      <c r="E3" s="567"/>
      <c r="F3" s="567"/>
      <c r="G3" s="567"/>
      <c r="H3" s="567"/>
      <c r="I3" s="567"/>
      <c r="J3" s="568"/>
    </row>
    <row r="4" spans="1:10" ht="15">
      <c r="A4" s="570" t="s">
        <v>501</v>
      </c>
      <c r="B4" s="571"/>
      <c r="C4" s="571"/>
      <c r="D4" s="571"/>
      <c r="E4" s="571"/>
      <c r="F4" s="571"/>
      <c r="G4" s="571"/>
      <c r="H4" s="571"/>
      <c r="I4" s="571"/>
      <c r="J4" s="572"/>
    </row>
    <row r="5" spans="1:10" ht="17.25" customHeight="1">
      <c r="A5" s="566" t="s">
        <v>662</v>
      </c>
      <c r="B5" s="567"/>
      <c r="C5" s="567"/>
      <c r="D5" s="567"/>
      <c r="E5" s="567"/>
      <c r="F5" s="567"/>
      <c r="G5" s="567"/>
      <c r="H5" s="567"/>
      <c r="I5" s="567"/>
      <c r="J5" s="568"/>
    </row>
    <row r="6" spans="1:10" ht="21.75" customHeight="1">
      <c r="A6" s="176"/>
      <c r="B6" s="177"/>
      <c r="C6" s="177"/>
      <c r="D6" s="177"/>
      <c r="E6" s="177"/>
      <c r="F6" s="177"/>
      <c r="G6" s="177"/>
      <c r="H6" s="177"/>
      <c r="I6" s="177"/>
      <c r="J6" s="178"/>
    </row>
    <row r="7" spans="1:10" ht="15">
      <c r="A7" s="583" t="s">
        <v>514</v>
      </c>
      <c r="B7" s="584"/>
      <c r="C7" s="584"/>
      <c r="D7" s="585"/>
      <c r="E7" s="573"/>
      <c r="F7" s="573"/>
      <c r="G7" s="573"/>
      <c r="H7" s="574">
        <v>1</v>
      </c>
      <c r="I7" s="575"/>
      <c r="J7" s="575"/>
    </row>
    <row r="8" spans="1:10" s="14" customFormat="1" ht="14.25">
      <c r="A8" s="577" t="s">
        <v>56</v>
      </c>
      <c r="B8" s="580">
        <f>Parâmetros!E10</f>
        <v>2020</v>
      </c>
      <c r="C8" s="581"/>
      <c r="D8" s="582"/>
      <c r="E8" s="580">
        <f>B8+1</f>
        <v>2021</v>
      </c>
      <c r="F8" s="581"/>
      <c r="G8" s="582"/>
      <c r="H8" s="580">
        <f>E8+1</f>
        <v>2022</v>
      </c>
      <c r="I8" s="581"/>
      <c r="J8" s="582"/>
    </row>
    <row r="9" spans="1:10" ht="15.75" customHeight="1">
      <c r="A9" s="578"/>
      <c r="B9" s="279" t="s">
        <v>57</v>
      </c>
      <c r="C9" s="280" t="s">
        <v>57</v>
      </c>
      <c r="D9" s="280" t="s">
        <v>58</v>
      </c>
      <c r="E9" s="280" t="s">
        <v>57</v>
      </c>
      <c r="F9" s="280" t="s">
        <v>57</v>
      </c>
      <c r="G9" s="280" t="s">
        <v>58</v>
      </c>
      <c r="H9" s="280" t="s">
        <v>57</v>
      </c>
      <c r="I9" s="280" t="s">
        <v>57</v>
      </c>
      <c r="J9" s="281" t="s">
        <v>58</v>
      </c>
    </row>
    <row r="10" spans="1:10" ht="15.75" customHeight="1">
      <c r="A10" s="578"/>
      <c r="B10" s="282" t="s">
        <v>59</v>
      </c>
      <c r="C10" s="283" t="s">
        <v>60</v>
      </c>
      <c r="D10" s="283" t="s">
        <v>61</v>
      </c>
      <c r="E10" s="283" t="s">
        <v>59</v>
      </c>
      <c r="F10" s="283" t="s">
        <v>60</v>
      </c>
      <c r="G10" s="283" t="s">
        <v>62</v>
      </c>
      <c r="H10" s="283" t="s">
        <v>59</v>
      </c>
      <c r="I10" s="283" t="s">
        <v>60</v>
      </c>
      <c r="J10" s="284" t="s">
        <v>63</v>
      </c>
    </row>
    <row r="11" spans="1:10" ht="15.75" customHeight="1">
      <c r="A11" s="579"/>
      <c r="B11" s="286" t="s">
        <v>64</v>
      </c>
      <c r="C11" s="287"/>
      <c r="D11" s="288" t="s">
        <v>65</v>
      </c>
      <c r="E11" s="288" t="s">
        <v>66</v>
      </c>
      <c r="F11" s="287"/>
      <c r="G11" s="288" t="s">
        <v>65</v>
      </c>
      <c r="H11" s="288" t="s">
        <v>67</v>
      </c>
      <c r="I11" s="287"/>
      <c r="J11" s="289" t="s">
        <v>65</v>
      </c>
    </row>
    <row r="12" spans="1:10" ht="14.25">
      <c r="A12" s="290" t="s">
        <v>149</v>
      </c>
      <c r="B12" s="291">
        <f>Projeções!G17+Projeções!G28+Projeções!G72+Projeções!G95+Projeções!G97</f>
        <v>0</v>
      </c>
      <c r="C12" s="291">
        <f>B12/(1+Parâmetros!E11)</f>
        <v>0</v>
      </c>
      <c r="D12" s="586" t="s">
        <v>640</v>
      </c>
      <c r="E12" s="291">
        <f>Projeções!H17+Projeções!H28+Projeções!H72+Projeções!H95+Projeções!H97</f>
        <v>0</v>
      </c>
      <c r="F12" s="291">
        <f>E12/((1+Parâmetros!E11)*(1+Parâmetros!F11))</f>
        <v>0</v>
      </c>
      <c r="G12" s="586" t="s">
        <v>640</v>
      </c>
      <c r="H12" s="292">
        <f>Projeções!I17+Projeções!I28+Projeções!I72+Projeções!I95+Projeções!I97</f>
        <v>0</v>
      </c>
      <c r="I12" s="292">
        <f>H12/((1+Parâmetros!E11)*(1+Parâmetros!F11)*(1+Parâmetros!G11))</f>
        <v>0</v>
      </c>
      <c r="J12" s="586" t="s">
        <v>640</v>
      </c>
    </row>
    <row r="13" spans="1:10" ht="14.25">
      <c r="A13" s="290" t="s">
        <v>150</v>
      </c>
      <c r="B13" s="291">
        <f>B12-Projeções!G28</f>
        <v>0</v>
      </c>
      <c r="C13" s="291">
        <f>B13/(1+Parâmetros!E11)</f>
        <v>0</v>
      </c>
      <c r="D13" s="587"/>
      <c r="E13" s="291">
        <f>E12-Projeções!H28</f>
        <v>0</v>
      </c>
      <c r="F13" s="291">
        <f>E13/((1+Parâmetros!E11)*(1+Parâmetros!F11))</f>
        <v>0</v>
      </c>
      <c r="G13" s="587"/>
      <c r="H13" s="292">
        <f>H12-Projeções!I28</f>
        <v>0</v>
      </c>
      <c r="I13" s="292">
        <f>H13/((1+Parâmetros!E11)*(1+Parâmetros!F11)*(1+Parâmetros!G11))</f>
        <v>0</v>
      </c>
      <c r="J13" s="587"/>
    </row>
    <row r="14" spans="1:10" ht="14.25">
      <c r="A14" s="290" t="s">
        <v>151</v>
      </c>
      <c r="B14" s="291">
        <f>Projeções!G117+Projeções!G121+Projeções!G125+Projeções!G130+Projeções!G138+Projeções!G140</f>
        <v>0</v>
      </c>
      <c r="C14" s="291">
        <f>B14/(1+Parâmetros!E11)</f>
        <v>0</v>
      </c>
      <c r="D14" s="587"/>
      <c r="E14" s="291">
        <f>Projeções!H117+Projeções!H121+Projeções!H125+Projeções!H130+Projeções!H138+Projeções!H140</f>
        <v>0</v>
      </c>
      <c r="F14" s="291">
        <f>E14/((1+Parâmetros!E11)*(1+Parâmetros!F11))</f>
        <v>0</v>
      </c>
      <c r="G14" s="587"/>
      <c r="H14" s="292">
        <f>Projeções!I117+Projeções!I121+Projeções!I125+Projeções!I130+Projeções!I138+Projeções!I140</f>
        <v>0</v>
      </c>
      <c r="I14" s="292">
        <f>H14/((1+Parâmetros!E11)*(1+Parâmetros!F11)*(1+Parâmetros!G11))</f>
        <v>0</v>
      </c>
      <c r="J14" s="587"/>
    </row>
    <row r="15" spans="1:10" ht="28.5">
      <c r="A15" s="290" t="s">
        <v>152</v>
      </c>
      <c r="B15" s="291">
        <f>B14-Projeções!G121-Projeções!G138</f>
        <v>0</v>
      </c>
      <c r="C15" s="291">
        <f>B15/(1+Parâmetros!E11)</f>
        <v>0</v>
      </c>
      <c r="D15" s="587"/>
      <c r="E15" s="291">
        <f>E14-Projeções!H121-Projeções!H138</f>
        <v>0</v>
      </c>
      <c r="F15" s="291">
        <f>E15/((1+Parâmetros!E11)*(1+Parâmetros!F11))</f>
        <v>0</v>
      </c>
      <c r="G15" s="587"/>
      <c r="H15" s="292">
        <f>H14-Projeções!I121-Projeções!I138</f>
        <v>0</v>
      </c>
      <c r="I15" s="292">
        <f>H15/((1+Parâmetros!E11)*(1+Parâmetros!F11)*(1+Parâmetros!G11))</f>
        <v>0</v>
      </c>
      <c r="J15" s="587"/>
    </row>
    <row r="16" spans="1:10" ht="28.5">
      <c r="A16" s="290" t="s">
        <v>153</v>
      </c>
      <c r="B16" s="291">
        <f>B13-B15</f>
        <v>0</v>
      </c>
      <c r="C16" s="291">
        <f>C13-C15</f>
        <v>0</v>
      </c>
      <c r="D16" s="588"/>
      <c r="E16" s="291">
        <f>E13-E15</f>
        <v>0</v>
      </c>
      <c r="F16" s="291">
        <f>F13-F15</f>
        <v>0</v>
      </c>
      <c r="G16" s="588"/>
      <c r="H16" s="292">
        <f>H13-H15</f>
        <v>0</v>
      </c>
      <c r="I16" s="292">
        <f>I13-I15</f>
        <v>0</v>
      </c>
      <c r="J16" s="588"/>
    </row>
    <row r="17" spans="1:10" ht="14.25">
      <c r="A17" s="576" t="s">
        <v>217</v>
      </c>
      <c r="B17" s="576"/>
      <c r="C17" s="576"/>
      <c r="D17" s="576"/>
      <c r="E17" s="576"/>
      <c r="F17" s="576"/>
      <c r="G17" s="576"/>
      <c r="H17" s="576"/>
      <c r="I17" s="576"/>
      <c r="J17" s="576"/>
    </row>
    <row r="18" s="180" customFormat="1" ht="15" customHeight="1"/>
  </sheetData>
  <sheetProtection/>
  <mergeCells count="16">
    <mergeCell ref="A17:J17"/>
    <mergeCell ref="A8:A11"/>
    <mergeCell ref="B8:D8"/>
    <mergeCell ref="E8:G8"/>
    <mergeCell ref="H8:J8"/>
    <mergeCell ref="A7:D7"/>
    <mergeCell ref="D12:D16"/>
    <mergeCell ref="G12:G16"/>
    <mergeCell ref="J12:J16"/>
    <mergeCell ref="A5:J5"/>
    <mergeCell ref="A1:J1"/>
    <mergeCell ref="A2:J2"/>
    <mergeCell ref="A3:J3"/>
    <mergeCell ref="A4:J4"/>
    <mergeCell ref="E7:G7"/>
    <mergeCell ref="H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2"/>
  <dimension ref="A1:I19"/>
  <sheetViews>
    <sheetView view="pageBreakPreview" zoomScaleNormal="90" zoomScaleSheetLayoutView="100" zoomScalePageLayoutView="0" workbookViewId="0" topLeftCell="A28">
      <selection activeCell="A1" sqref="A1:I56"/>
    </sheetView>
  </sheetViews>
  <sheetFormatPr defaultColWidth="9.140625" defaultRowHeight="12.75"/>
  <cols>
    <col min="1" max="1" width="20.7109375" style="11" customWidth="1"/>
    <col min="2" max="2" width="17.28125" style="11" customWidth="1"/>
    <col min="3" max="3" width="9.7109375" style="11" customWidth="1"/>
    <col min="4" max="4" width="10.57421875" style="11" customWidth="1"/>
    <col min="5" max="5" width="17.28125" style="11" customWidth="1"/>
    <col min="6" max="6" width="9.7109375" style="11" customWidth="1"/>
    <col min="7" max="7" width="10.57421875" style="11" customWidth="1"/>
    <col min="8" max="8" width="16.8515625" style="11" customWidth="1"/>
    <col min="9" max="9" width="10.140625" style="11" customWidth="1"/>
    <col min="10" max="16384" width="9.140625" style="11" customWidth="1"/>
  </cols>
  <sheetData>
    <row r="1" spans="1:9" ht="12.75">
      <c r="A1" s="556" t="str">
        <f>Parâmetros!A7</f>
        <v>Município de : BARRA DO QUARAI</v>
      </c>
      <c r="B1" s="553"/>
      <c r="C1" s="553"/>
      <c r="D1" s="553"/>
      <c r="E1" s="553"/>
      <c r="F1" s="553"/>
      <c r="G1" s="553"/>
      <c r="H1" s="553"/>
      <c r="I1" s="554"/>
    </row>
    <row r="2" spans="1:9" ht="12.75">
      <c r="A2" s="552" t="s">
        <v>36</v>
      </c>
      <c r="B2" s="553"/>
      <c r="C2" s="553"/>
      <c r="D2" s="553"/>
      <c r="E2" s="553"/>
      <c r="F2" s="553"/>
      <c r="G2" s="553"/>
      <c r="H2" s="553"/>
      <c r="I2" s="554"/>
    </row>
    <row r="3" spans="1:9" ht="12.75">
      <c r="A3" s="552" t="str">
        <f>'Metas Cons'!A3:M3</f>
        <v>ANEXO DE METAS FISCAIS</v>
      </c>
      <c r="B3" s="553"/>
      <c r="C3" s="553"/>
      <c r="D3" s="553"/>
      <c r="E3" s="553"/>
      <c r="F3" s="553"/>
      <c r="G3" s="553"/>
      <c r="H3" s="553"/>
      <c r="I3" s="554"/>
    </row>
    <row r="4" spans="1:9" ht="12.75">
      <c r="A4" s="557" t="s">
        <v>502</v>
      </c>
      <c r="B4" s="558"/>
      <c r="C4" s="558"/>
      <c r="D4" s="558"/>
      <c r="E4" s="558"/>
      <c r="F4" s="558"/>
      <c r="G4" s="558"/>
      <c r="H4" s="558"/>
      <c r="I4" s="559"/>
    </row>
    <row r="5" spans="1:9" ht="12.75">
      <c r="A5" s="552" t="s">
        <v>662</v>
      </c>
      <c r="B5" s="553"/>
      <c r="C5" s="553"/>
      <c r="D5" s="553"/>
      <c r="E5" s="553"/>
      <c r="F5" s="553"/>
      <c r="G5" s="553"/>
      <c r="H5" s="553"/>
      <c r="I5" s="554"/>
    </row>
    <row r="6" spans="1:9" ht="12.75">
      <c r="A6" s="552"/>
      <c r="B6" s="553"/>
      <c r="C6" s="553"/>
      <c r="D6" s="553"/>
      <c r="E6" s="553"/>
      <c r="F6" s="553"/>
      <c r="G6" s="553"/>
      <c r="H6" s="553"/>
      <c r="I6" s="554"/>
    </row>
    <row r="7" spans="1:9" ht="12.75" customHeight="1">
      <c r="A7" s="599" t="s">
        <v>513</v>
      </c>
      <c r="B7" s="600"/>
      <c r="C7" s="346"/>
      <c r="D7" s="346"/>
      <c r="E7" s="346"/>
      <c r="F7" s="346"/>
      <c r="G7" s="346"/>
      <c r="H7" s="539">
        <v>1</v>
      </c>
      <c r="I7" s="540"/>
    </row>
    <row r="8" spans="1:9" ht="10.5" customHeight="1">
      <c r="A8" s="592" t="s">
        <v>56</v>
      </c>
      <c r="B8" s="549" t="s">
        <v>116</v>
      </c>
      <c r="C8" s="549" t="s">
        <v>58</v>
      </c>
      <c r="D8" s="549" t="s">
        <v>398</v>
      </c>
      <c r="E8" s="549" t="s">
        <v>117</v>
      </c>
      <c r="F8" s="549" t="s">
        <v>58</v>
      </c>
      <c r="G8" s="549" t="s">
        <v>398</v>
      </c>
      <c r="H8" s="595" t="s">
        <v>74</v>
      </c>
      <c r="I8" s="596"/>
    </row>
    <row r="9" spans="1:9" ht="12.75" customHeight="1">
      <c r="A9" s="593"/>
      <c r="B9" s="550"/>
      <c r="C9" s="550"/>
      <c r="D9" s="550"/>
      <c r="E9" s="550"/>
      <c r="F9" s="550"/>
      <c r="G9" s="550"/>
      <c r="H9" s="597"/>
      <c r="I9" s="598"/>
    </row>
    <row r="10" spans="1:9" ht="22.5" customHeight="1">
      <c r="A10" s="594"/>
      <c r="B10" s="390" t="s">
        <v>664</v>
      </c>
      <c r="C10" s="551"/>
      <c r="D10" s="551"/>
      <c r="E10" s="391" t="s">
        <v>665</v>
      </c>
      <c r="F10" s="551"/>
      <c r="G10" s="551"/>
      <c r="H10" s="392" t="s">
        <v>118</v>
      </c>
      <c r="I10" s="389" t="s">
        <v>75</v>
      </c>
    </row>
    <row r="11" spans="1:9" ht="12.75">
      <c r="A11" s="387" t="s">
        <v>39</v>
      </c>
      <c r="B11" s="347">
        <v>21092039.4</v>
      </c>
      <c r="C11" s="589" t="s">
        <v>635</v>
      </c>
      <c r="D11" s="439">
        <f>B11/RCL!B14</f>
        <v>1.0383851041317147</v>
      </c>
      <c r="E11" s="491">
        <v>20758182.58</v>
      </c>
      <c r="F11" s="589" t="s">
        <v>635</v>
      </c>
      <c r="G11" s="388">
        <f>E11/RCL!B14</f>
        <v>1.0219489529266879</v>
      </c>
      <c r="H11" s="440">
        <f aca="true" t="shared" si="0" ref="H11:H18">E11-B11</f>
        <v>-333856.8200000003</v>
      </c>
      <c r="I11" s="441">
        <f aca="true" t="shared" si="1" ref="I11:I18">IF(B11=0,"-",(H11/B11))</f>
        <v>-0.01582856990111636</v>
      </c>
    </row>
    <row r="12" spans="1:9" ht="12.75">
      <c r="A12" s="387" t="s">
        <v>124</v>
      </c>
      <c r="B12" s="347">
        <v>20969848</v>
      </c>
      <c r="C12" s="590"/>
      <c r="D12" s="439">
        <f>B12/RCL!B14</f>
        <v>1.0323694824458858</v>
      </c>
      <c r="E12" s="491">
        <v>20715685.02</v>
      </c>
      <c r="F12" s="590"/>
      <c r="G12" s="388">
        <f>E12/RCL!B14</f>
        <v>1.0198567496821813</v>
      </c>
      <c r="H12" s="440">
        <f t="shared" si="0"/>
        <v>-254162.98000000045</v>
      </c>
      <c r="I12" s="441">
        <f t="shared" si="1"/>
        <v>-0.012120401635720032</v>
      </c>
    </row>
    <row r="13" spans="1:9" ht="12.75">
      <c r="A13" s="387" t="s">
        <v>40</v>
      </c>
      <c r="B13" s="347">
        <v>21092039.4</v>
      </c>
      <c r="C13" s="590"/>
      <c r="D13" s="439">
        <f>B13/RCL!B14</f>
        <v>1.0383851041317147</v>
      </c>
      <c r="E13" s="491">
        <v>19841150.6</v>
      </c>
      <c r="F13" s="590"/>
      <c r="G13" s="388">
        <f>E13/RCL!B14</f>
        <v>0.9768024248937274</v>
      </c>
      <c r="H13" s="440">
        <f t="shared" si="0"/>
        <v>-1250888.799999997</v>
      </c>
      <c r="I13" s="441">
        <f t="shared" si="1"/>
        <v>-0.05930620440619872</v>
      </c>
    </row>
    <row r="14" spans="1:9" ht="12.75">
      <c r="A14" s="387" t="s">
        <v>125</v>
      </c>
      <c r="B14" s="347">
        <v>20757096</v>
      </c>
      <c r="C14" s="590"/>
      <c r="D14" s="439">
        <f>B14/RCL!B14</f>
        <v>1.021895459356671</v>
      </c>
      <c r="E14" s="491">
        <v>19114958.83</v>
      </c>
      <c r="F14" s="590"/>
      <c r="G14" s="388">
        <f>E14/RCL!B14</f>
        <v>0.9410511775908683</v>
      </c>
      <c r="H14" s="440">
        <f t="shared" si="0"/>
        <v>-1642137.1700000018</v>
      </c>
      <c r="I14" s="441">
        <f t="shared" si="1"/>
        <v>-0.07911208629569386</v>
      </c>
    </row>
    <row r="15" spans="1:9" ht="25.5">
      <c r="A15" s="387" t="s">
        <v>76</v>
      </c>
      <c r="B15" s="438">
        <f>B12-B14</f>
        <v>212752</v>
      </c>
      <c r="C15" s="590"/>
      <c r="D15" s="439">
        <f>B15/RCL!B14</f>
        <v>0.01047402308921491</v>
      </c>
      <c r="E15" s="438">
        <f>E12-E14</f>
        <v>1600726.1900000013</v>
      </c>
      <c r="F15" s="590"/>
      <c r="G15" s="388">
        <f>E15/RCL!B14</f>
        <v>0.07880557209131302</v>
      </c>
      <c r="H15" s="440">
        <f t="shared" si="0"/>
        <v>1387974.1900000013</v>
      </c>
      <c r="I15" s="441">
        <f t="shared" si="1"/>
        <v>6.523906661276986</v>
      </c>
    </row>
    <row r="16" spans="1:9" ht="15" customHeight="1">
      <c r="A16" s="387" t="s">
        <v>37</v>
      </c>
      <c r="B16" s="348">
        <v>-715701.03</v>
      </c>
      <c r="C16" s="590"/>
      <c r="D16" s="439">
        <f>B16/RCL!B14</f>
        <v>-0.03523477623333691</v>
      </c>
      <c r="E16" s="491">
        <v>510430.64</v>
      </c>
      <c r="F16" s="590"/>
      <c r="G16" s="388">
        <f>E16/RCL!B14</f>
        <v>0.02512908131910743</v>
      </c>
      <c r="H16" s="440">
        <f t="shared" si="0"/>
        <v>1226131.67</v>
      </c>
      <c r="I16" s="441">
        <f t="shared" si="1"/>
        <v>-1.7131897518716717</v>
      </c>
    </row>
    <row r="17" spans="1:9" ht="27" customHeight="1">
      <c r="A17" s="387" t="s">
        <v>77</v>
      </c>
      <c r="B17" s="348">
        <v>736477.44</v>
      </c>
      <c r="C17" s="590"/>
      <c r="D17" s="439">
        <f>B17/RCL!B14</f>
        <v>0.03625762254289449</v>
      </c>
      <c r="E17" s="491">
        <v>639710.64</v>
      </c>
      <c r="F17" s="590"/>
      <c r="G17" s="388">
        <f>E17/RCL!B14</f>
        <v>0.03149368285034428</v>
      </c>
      <c r="H17" s="440">
        <f t="shared" si="0"/>
        <v>-96766.79999999993</v>
      </c>
      <c r="I17" s="441">
        <f t="shared" si="1"/>
        <v>-0.13139139740655184</v>
      </c>
    </row>
    <row r="18" spans="1:9" ht="28.5" customHeight="1">
      <c r="A18" s="387" t="s">
        <v>78</v>
      </c>
      <c r="B18" s="348">
        <v>-715701.03</v>
      </c>
      <c r="C18" s="591"/>
      <c r="D18" s="439">
        <f>B18/RCL!B14</f>
        <v>-0.03523477623333691</v>
      </c>
      <c r="E18" s="491">
        <v>718610.29</v>
      </c>
      <c r="F18" s="591"/>
      <c r="G18" s="388">
        <f>E18/RCL!B14</f>
        <v>0.035378002414113256</v>
      </c>
      <c r="H18" s="440">
        <f t="shared" si="0"/>
        <v>1434311.32</v>
      </c>
      <c r="I18" s="441">
        <f t="shared" si="1"/>
        <v>-2.004064909617358</v>
      </c>
    </row>
    <row r="19" spans="1:9" ht="12.75">
      <c r="A19" s="541" t="s">
        <v>218</v>
      </c>
      <c r="B19" s="541"/>
      <c r="C19" s="541"/>
      <c r="D19" s="541"/>
      <c r="E19" s="541"/>
      <c r="F19" s="541"/>
      <c r="G19" s="541"/>
      <c r="H19" s="541"/>
      <c r="I19" s="541"/>
    </row>
  </sheetData>
  <sheetProtection/>
  <mergeCells count="19">
    <mergeCell ref="C11:C18"/>
    <mergeCell ref="F11:F18"/>
    <mergeCell ref="A19:I19"/>
    <mergeCell ref="H7:I7"/>
    <mergeCell ref="A8:A10"/>
    <mergeCell ref="B8:B9"/>
    <mergeCell ref="E8:E9"/>
    <mergeCell ref="H8:I9"/>
    <mergeCell ref="A7:B7"/>
    <mergeCell ref="C8:C10"/>
    <mergeCell ref="F8:F10"/>
    <mergeCell ref="D8:D10"/>
    <mergeCell ref="G8:G10"/>
    <mergeCell ref="A5:I5"/>
    <mergeCell ref="A6:I6"/>
    <mergeCell ref="A1:I1"/>
    <mergeCell ref="A2:I2"/>
    <mergeCell ref="A3:I3"/>
    <mergeCell ref="A4:I4"/>
  </mergeCell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Windows 7 Pro</cp:lastModifiedBy>
  <cp:lastPrinted>2019-10-03T15:30:50Z</cp:lastPrinted>
  <dcterms:created xsi:type="dcterms:W3CDTF">2000-07-04T17:38:30Z</dcterms:created>
  <dcterms:modified xsi:type="dcterms:W3CDTF">2019-10-03T15:31:16Z</dcterms:modified>
  <cp:category/>
  <cp:version/>
  <cp:contentType/>
  <cp:contentStatus/>
</cp:coreProperties>
</file>